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ta\BUSINESS\MSWORD\Committees\BRDS\2023-24\240522\"/>
    </mc:Choice>
  </mc:AlternateContent>
  <xr:revisionPtr revIDLastSave="0" documentId="8_{2F48115C-F065-4482-A504-0C2486072AFB}" xr6:coauthVersionLast="36" xr6:coauthVersionMax="36" xr10:uidLastSave="{00000000-0000-0000-0000-000000000000}"/>
  <bookViews>
    <workbookView xWindow="0" yWindow="0" windowWidth="25890" windowHeight="10110" xr2:uid="{EA554C97-BC23-46A8-9857-7FD55C3E5C59}"/>
  </bookViews>
  <sheets>
    <sheet name="TENTATIVE CAM-FINAL 5.15.2024" sheetId="1" r:id="rId1"/>
  </sheets>
  <externalReferences>
    <externalReference r:id="rId2"/>
  </externalReferences>
  <definedNames>
    <definedName name="_xlnm.Print_Area" localSheetId="0">'TENTATIVE CAM-FINAL 5.15.2024'!$B$1:$J$200</definedName>
    <definedName name="_xlnm.Print_Titles" localSheetId="0">'TENTATIVE CAM-FINAL 5.15.2024'!$1:$4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0" i="1" l="1"/>
  <c r="G139" i="1"/>
  <c r="G138" i="1"/>
  <c r="G137" i="1"/>
  <c r="G136" i="1"/>
  <c r="G134" i="1"/>
  <c r="G133" i="1"/>
  <c r="G132" i="1"/>
  <c r="G131" i="1"/>
  <c r="I164" i="1" l="1"/>
  <c r="I165" i="1"/>
  <c r="I166" i="1"/>
  <c r="I150" i="1"/>
  <c r="E8" i="1" l="1"/>
  <c r="F8" i="1"/>
  <c r="G8" i="1"/>
  <c r="H8" i="1"/>
  <c r="I13" i="1"/>
  <c r="F14" i="1"/>
  <c r="G14" i="1"/>
  <c r="I14" i="1"/>
  <c r="E15" i="1"/>
  <c r="F15" i="1"/>
  <c r="F17" i="1" s="1"/>
  <c r="G15" i="1"/>
  <c r="G17" i="1" s="1"/>
  <c r="H15" i="1"/>
  <c r="I16" i="1"/>
  <c r="H17" i="1"/>
  <c r="I20" i="1"/>
  <c r="F21" i="1"/>
  <c r="F22" i="1" s="1"/>
  <c r="G21" i="1"/>
  <c r="G22" i="1" s="1"/>
  <c r="I21" i="1"/>
  <c r="E22" i="1"/>
  <c r="H22" i="1"/>
  <c r="I25" i="1"/>
  <c r="F26" i="1"/>
  <c r="F27" i="1" s="1"/>
  <c r="G26" i="1"/>
  <c r="G27" i="1" s="1"/>
  <c r="I26" i="1"/>
  <c r="E27" i="1"/>
  <c r="H27" i="1"/>
  <c r="E28" i="1"/>
  <c r="E38" i="1" s="1"/>
  <c r="F28" i="1"/>
  <c r="F38" i="1" s="1"/>
  <c r="G28" i="1"/>
  <c r="G38" i="1" s="1"/>
  <c r="H28" i="1"/>
  <c r="H38" i="1" s="1"/>
  <c r="I32" i="1"/>
  <c r="F33" i="1"/>
  <c r="G33" i="1"/>
  <c r="I33" i="1"/>
  <c r="E34" i="1"/>
  <c r="F34" i="1"/>
  <c r="G34" i="1"/>
  <c r="H34" i="1"/>
  <c r="E36" i="1"/>
  <c r="E149" i="1" s="1"/>
  <c r="F36" i="1"/>
  <c r="G36" i="1"/>
  <c r="G149" i="1" s="1"/>
  <c r="H36" i="1"/>
  <c r="H149" i="1" s="1"/>
  <c r="I42" i="1"/>
  <c r="I43" i="1"/>
  <c r="E44" i="1"/>
  <c r="F44" i="1"/>
  <c r="G44" i="1"/>
  <c r="H44" i="1"/>
  <c r="E46" i="1"/>
  <c r="F46" i="1" s="1"/>
  <c r="E47" i="1"/>
  <c r="G47" i="1" s="1"/>
  <c r="I56" i="1"/>
  <c r="E59" i="1"/>
  <c r="F59" i="1" s="1"/>
  <c r="I64" i="1"/>
  <c r="I67" i="1"/>
  <c r="E75" i="1"/>
  <c r="F75" i="1"/>
  <c r="G75" i="1"/>
  <c r="E76" i="1"/>
  <c r="F76" i="1"/>
  <c r="G76" i="1"/>
  <c r="H77" i="1"/>
  <c r="H78" i="1"/>
  <c r="I78" i="1" s="1"/>
  <c r="I79" i="1"/>
  <c r="E80" i="1"/>
  <c r="F80" i="1"/>
  <c r="G80" i="1"/>
  <c r="H80" i="1"/>
  <c r="I81" i="1"/>
  <c r="I82" i="1"/>
  <c r="I89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E112" i="1"/>
  <c r="F112" i="1"/>
  <c r="G112" i="1"/>
  <c r="H112" i="1"/>
  <c r="I115" i="1"/>
  <c r="F116" i="1"/>
  <c r="G116" i="1" s="1"/>
  <c r="G117" i="1" s="1"/>
  <c r="G119" i="1" s="1"/>
  <c r="H116" i="1"/>
  <c r="H117" i="1" s="1"/>
  <c r="H119" i="1" s="1"/>
  <c r="I116" i="1"/>
  <c r="E117" i="1"/>
  <c r="E119" i="1" s="1"/>
  <c r="I118" i="1"/>
  <c r="I120" i="1"/>
  <c r="E121" i="1"/>
  <c r="I121" i="1" s="1"/>
  <c r="F121" i="1"/>
  <c r="G121" i="1"/>
  <c r="H121" i="1"/>
  <c r="I131" i="1"/>
  <c r="I132" i="1"/>
  <c r="I133" i="1"/>
  <c r="I134" i="1"/>
  <c r="I136" i="1"/>
  <c r="I137" i="1"/>
  <c r="I138" i="1"/>
  <c r="I139" i="1"/>
  <c r="I140" i="1"/>
  <c r="I146" i="1"/>
  <c r="F148" i="1"/>
  <c r="G148" i="1" s="1"/>
  <c r="H167" i="1"/>
  <c r="H168" i="1" s="1"/>
  <c r="I168" i="1" s="1"/>
  <c r="H169" i="1"/>
  <c r="I169" i="1" s="1"/>
  <c r="I170" i="1"/>
  <c r="I171" i="1"/>
  <c r="I172" i="1"/>
  <c r="I173" i="1"/>
  <c r="I174" i="1"/>
  <c r="G175" i="1"/>
  <c r="I175" i="1"/>
  <c r="I176" i="1"/>
  <c r="I177" i="1"/>
  <c r="I178" i="1"/>
  <c r="E179" i="1"/>
  <c r="E187" i="1" s="1"/>
  <c r="I180" i="1"/>
  <c r="I181" i="1"/>
  <c r="I182" i="1"/>
  <c r="F183" i="1"/>
  <c r="G183" i="1"/>
  <c r="H183" i="1"/>
  <c r="I184" i="1"/>
  <c r="I185" i="1"/>
  <c r="I186" i="1"/>
  <c r="F193" i="1"/>
  <c r="F196" i="1" s="1"/>
  <c r="I194" i="1"/>
  <c r="E196" i="1"/>
  <c r="G196" i="1"/>
  <c r="H196" i="1"/>
  <c r="G179" i="1" l="1"/>
  <c r="F179" i="1"/>
  <c r="H179" i="1"/>
  <c r="G59" i="1"/>
  <c r="E60" i="1"/>
  <c r="F60" i="1" s="1"/>
  <c r="G60" i="1" s="1"/>
  <c r="H60" i="1" s="1"/>
  <c r="G46" i="1"/>
  <c r="H46" i="1"/>
  <c r="I75" i="1"/>
  <c r="I179" i="1"/>
  <c r="I112" i="1"/>
  <c r="I27" i="1"/>
  <c r="I34" i="1"/>
  <c r="F187" i="1"/>
  <c r="I193" i="1"/>
  <c r="I196" i="1" s="1"/>
  <c r="E83" i="1"/>
  <c r="F47" i="1"/>
  <c r="F48" i="1" s="1"/>
  <c r="H29" i="1"/>
  <c r="I76" i="1"/>
  <c r="E167" i="1"/>
  <c r="H83" i="1"/>
  <c r="G83" i="1"/>
  <c r="I8" i="1"/>
  <c r="F83" i="1"/>
  <c r="E151" i="1"/>
  <c r="E153" i="1" s="1"/>
  <c r="E155" i="1" s="1"/>
  <c r="E85" i="1"/>
  <c r="I167" i="1"/>
  <c r="F167" i="1"/>
  <c r="H85" i="1"/>
  <c r="H151" i="1"/>
  <c r="H153" i="1" s="1"/>
  <c r="H155" i="1" s="1"/>
  <c r="E29" i="1"/>
  <c r="I15" i="1"/>
  <c r="I36" i="1"/>
  <c r="G187" i="1"/>
  <c r="E61" i="1"/>
  <c r="E62" i="1" s="1"/>
  <c r="E48" i="1"/>
  <c r="E65" i="1" s="1"/>
  <c r="I22" i="1"/>
  <c r="F61" i="1"/>
  <c r="F62" i="1" s="1"/>
  <c r="H39" i="1"/>
  <c r="H40" i="1" s="1"/>
  <c r="I183" i="1"/>
  <c r="I80" i="1"/>
  <c r="I28" i="1"/>
  <c r="G141" i="1"/>
  <c r="G29" i="1"/>
  <c r="G39" i="1" s="1"/>
  <c r="G40" i="1" s="1"/>
  <c r="F29" i="1"/>
  <c r="F39" i="1" s="1"/>
  <c r="F40" i="1" s="1"/>
  <c r="G167" i="1"/>
  <c r="I44" i="1"/>
  <c r="I77" i="1"/>
  <c r="I38" i="1"/>
  <c r="G85" i="1"/>
  <c r="G151" i="1"/>
  <c r="G153" i="1" s="1"/>
  <c r="G155" i="1" s="1"/>
  <c r="G48" i="1"/>
  <c r="H59" i="1"/>
  <c r="H187" i="1"/>
  <c r="F149" i="1"/>
  <c r="F117" i="1"/>
  <c r="E17" i="1"/>
  <c r="I141" i="1"/>
  <c r="H47" i="1"/>
  <c r="H48" i="1" l="1"/>
  <c r="H68" i="1" s="1"/>
  <c r="G61" i="1"/>
  <c r="G62" i="1" s="1"/>
  <c r="F68" i="1"/>
  <c r="E120" i="1"/>
  <c r="E122" i="1" s="1"/>
  <c r="F50" i="1"/>
  <c r="E68" i="1"/>
  <c r="E51" i="1"/>
  <c r="I83" i="1"/>
  <c r="I29" i="1"/>
  <c r="F52" i="1"/>
  <c r="F51" i="1"/>
  <c r="F120" i="1"/>
  <c r="E52" i="1"/>
  <c r="E50" i="1"/>
  <c r="E53" i="1"/>
  <c r="I187" i="1"/>
  <c r="F65" i="1"/>
  <c r="F53" i="1"/>
  <c r="F119" i="1"/>
  <c r="I117" i="1"/>
  <c r="F85" i="1"/>
  <c r="I85" i="1" s="1"/>
  <c r="F151" i="1"/>
  <c r="I149" i="1"/>
  <c r="H61" i="1"/>
  <c r="H62" i="1" s="1"/>
  <c r="I62" i="1" s="1"/>
  <c r="G52" i="1"/>
  <c r="G51" i="1"/>
  <c r="G50" i="1"/>
  <c r="G53" i="1"/>
  <c r="G65" i="1"/>
  <c r="G68" i="1"/>
  <c r="G120" i="1"/>
  <c r="G122" i="1" s="1"/>
  <c r="H52" i="1"/>
  <c r="H51" i="1"/>
  <c r="H120" i="1"/>
  <c r="H122" i="1" s="1"/>
  <c r="H50" i="1"/>
  <c r="H53" i="1"/>
  <c r="H65" i="1"/>
  <c r="E39" i="1"/>
  <c r="I17" i="1"/>
  <c r="F122" i="1" l="1"/>
  <c r="F54" i="1"/>
  <c r="F70" i="1" s="1"/>
  <c r="E54" i="1"/>
  <c r="I52" i="1"/>
  <c r="I65" i="1"/>
  <c r="I50" i="1"/>
  <c r="I53" i="1"/>
  <c r="I51" i="1"/>
  <c r="I39" i="1"/>
  <c r="E40" i="1"/>
  <c r="I40" i="1" s="1"/>
  <c r="G54" i="1"/>
  <c r="G70" i="1" s="1"/>
  <c r="G158" i="1" s="1"/>
  <c r="H54" i="1"/>
  <c r="I151" i="1"/>
  <c r="F153" i="1"/>
  <c r="H70" i="1"/>
  <c r="H158" i="1" s="1"/>
  <c r="E70" i="1"/>
  <c r="E158" i="1" s="1"/>
  <c r="I119" i="1"/>
  <c r="I122" i="1"/>
  <c r="I68" i="1"/>
  <c r="G189" i="1" l="1"/>
  <c r="G198" i="1" s="1"/>
  <c r="G9" i="1" s="1"/>
  <c r="H189" i="1"/>
  <c r="H198" i="1" s="1"/>
  <c r="H9" i="1" s="1"/>
  <c r="I54" i="1"/>
  <c r="I70" i="1"/>
  <c r="E189" i="1"/>
  <c r="F155" i="1"/>
  <c r="F158" i="1" s="1"/>
  <c r="I153" i="1"/>
  <c r="F189" i="1" l="1"/>
  <c r="F198" i="1" s="1"/>
  <c r="F9" i="1" s="1"/>
  <c r="E198" i="1"/>
  <c r="E9" i="1" s="1"/>
  <c r="I155" i="1"/>
  <c r="I158" i="1" s="1"/>
  <c r="I9" i="1" l="1"/>
  <c r="J9" i="1" s="1"/>
  <c r="I189" i="1" l="1"/>
  <c r="I198" i="1" l="1"/>
  <c r="G191" i="1"/>
  <c r="H191" i="1"/>
  <c r="E191" i="1"/>
  <c r="F19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test</author>
    <author>Araceli Arreola-Bustamante</author>
  </authors>
  <commentList>
    <comment ref="B56" authorId="0" shapeId="0" xr:uid="{65AD1DC2-5600-43A1-8B2A-A4772633BA97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"1302" substiitute 3yr. average worksheet</t>
        </r>
      </text>
    </comment>
    <comment ref="B129" authorId="0" shapeId="0" xr:uid="{FCFA15C1-259E-47B2-82D2-96A4DDA11BB6}">
      <text>
        <r>
          <rPr>
            <b/>
            <sz val="9"/>
            <color indexed="81"/>
            <rFont val="Tahoma"/>
            <family val="2"/>
          </rPr>
          <t>test:</t>
        </r>
        <r>
          <rPr>
            <sz val="9"/>
            <color indexed="81"/>
            <rFont val="Tahoma"/>
            <family val="2"/>
          </rPr>
          <t xml:space="preserve">
Academies allocations based on email received from Miramar on 4.17.2024  to implement at FY25 Adopted.</t>
        </r>
      </text>
    </comment>
    <comment ref="H195" authorId="1" shapeId="0" xr:uid="{BA3CCD47-1F2E-4DB8-820D-CF8651EA9E0D}">
      <text>
        <r>
          <rPr>
            <b/>
            <sz val="9"/>
            <color indexed="81"/>
            <rFont val="Tahoma"/>
            <family val="2"/>
          </rPr>
          <t>Araceli Arreola-Bustamante:</t>
        </r>
        <r>
          <rPr>
            <sz val="9"/>
            <color indexed="81"/>
            <rFont val="Tahoma"/>
            <family val="2"/>
          </rPr>
          <t xml:space="preserve">
Peremail confirmation fromm CE 8.11.2023</t>
        </r>
      </text>
    </comment>
  </commentList>
</comments>
</file>

<file path=xl/sharedStrings.xml><?xml version="1.0" encoding="utf-8"?>
<sst xmlns="http://schemas.openxmlformats.org/spreadsheetml/2006/main" count="190" uniqueCount="157">
  <si>
    <t>Total Allocation Continuous and One-Time</t>
  </si>
  <si>
    <t>Adjustments for Reserves and Encumbrances</t>
  </si>
  <si>
    <t>PYE Funded in 1112</t>
  </si>
  <si>
    <t>Projected Balance ( Funded in 1180)</t>
  </si>
  <si>
    <t>Projected Balance ( Funded in 1111)</t>
  </si>
  <si>
    <t xml:space="preserve">Return of Ending Balances </t>
  </si>
  <si>
    <t>PLUS:</t>
  </si>
  <si>
    <t>GFU Adopted Budget Allocation (Continuous)</t>
  </si>
  <si>
    <t>Total Adjusting Contractual Items</t>
  </si>
  <si>
    <r>
      <t>Apprenticeship Reserve one time  funding spread over 3 years.</t>
    </r>
    <r>
      <rPr>
        <b/>
        <sz val="10"/>
        <rFont val="Bahnschrift Light"/>
        <family val="2"/>
      </rPr>
      <t xml:space="preserve"> (FY25 allocation for year 2)</t>
    </r>
  </si>
  <si>
    <t>Apprenticeship</t>
  </si>
  <si>
    <t xml:space="preserve">GFU funding provided to DSPS </t>
  </si>
  <si>
    <t>Online Faculty Mentor</t>
  </si>
  <si>
    <t>Honors Program</t>
  </si>
  <si>
    <t>Library Services Platform (Per CCCO Memo 3.18.2022)</t>
  </si>
  <si>
    <t>Starred Rate Employee</t>
  </si>
  <si>
    <t>Classified Senate Officers Stipends</t>
  </si>
  <si>
    <t>SDCCE Foundation (Director's Compensation @80%)</t>
  </si>
  <si>
    <t>Academic Senate Stipend</t>
  </si>
  <si>
    <t>Commencement Carry forward FY 21-22</t>
  </si>
  <si>
    <t>Districtwide Library Services</t>
  </si>
  <si>
    <t>CE Sabbatical &amp; Professional Development</t>
  </si>
  <si>
    <t xml:space="preserve">Adjunct Backfill for Contract Faculty Sabbatical </t>
  </si>
  <si>
    <t>Scantron</t>
  </si>
  <si>
    <t>Bachelor Seed Funding</t>
  </si>
  <si>
    <t>HIM Bachelor Degree carry forward from Prior Fiscal Year</t>
  </si>
  <si>
    <t>AFT Faculty Travel (per contract)</t>
  </si>
  <si>
    <t>Pro-rata Allocation</t>
  </si>
  <si>
    <t>Total Pro-rata Salary plus Benefits</t>
  </si>
  <si>
    <t>Pro-Rata Benefits</t>
  </si>
  <si>
    <t>Pro-Rata Salary</t>
  </si>
  <si>
    <t>Pro-Rata FTEF (Fall/Spring)</t>
  </si>
  <si>
    <t>Total</t>
  </si>
  <si>
    <t>CE</t>
  </si>
  <si>
    <t>Miramar</t>
  </si>
  <si>
    <t>Mesa</t>
  </si>
  <si>
    <t>City</t>
  </si>
  <si>
    <t>Adjusting Contractual Items</t>
  </si>
  <si>
    <t>ADJUSTMENTS TO FORMULA</t>
  </si>
  <si>
    <t>Total Allocation by Formula</t>
  </si>
  <si>
    <t>Grand Total Discretionary Funding</t>
  </si>
  <si>
    <t>Sub-Total FTES Discretionary Allocation</t>
  </si>
  <si>
    <t>Total FTES All terms</t>
  </si>
  <si>
    <t>Targets 24-25</t>
  </si>
  <si>
    <t>Rate per FTES *</t>
  </si>
  <si>
    <t xml:space="preserve">FTES  Credit Discretionary Allocation </t>
  </si>
  <si>
    <t>Base Discretionary</t>
  </si>
  <si>
    <t>DISCRETIONARY ALLOCATION</t>
  </si>
  <si>
    <t>Total Public Safety</t>
  </si>
  <si>
    <t>Fire Instructional Services Agreements (ISAs)</t>
  </si>
  <si>
    <t>Life Guard In- Service</t>
  </si>
  <si>
    <t>EMT In-Service</t>
  </si>
  <si>
    <t>Fire In-Service</t>
  </si>
  <si>
    <t xml:space="preserve">Law Enforcement Mandated In-Service </t>
  </si>
  <si>
    <t>In-Service</t>
  </si>
  <si>
    <t>Life Guard Academy</t>
  </si>
  <si>
    <t>Fire Academy</t>
  </si>
  <si>
    <t xml:space="preserve">Detention Academy </t>
  </si>
  <si>
    <t>Law Enforcement 4 Academies  (3 Sections per Academy)</t>
  </si>
  <si>
    <t>Academies</t>
  </si>
  <si>
    <t>Total FTES (Base of 1,257)</t>
  </si>
  <si>
    <t>Unit Price</t>
  </si>
  <si>
    <t>MIRAMAR PUBLIC SAFETY ( Fall, Spring and Summer)</t>
  </si>
  <si>
    <t>Total Intersession Fund Allocation</t>
  </si>
  <si>
    <t>Classroom Substitute per FTEF (includes salary and benefits)</t>
  </si>
  <si>
    <t>Adjunct Allocation per FTEF (includes salary and benefits)</t>
  </si>
  <si>
    <t>Adj. Estimated 2021 Intersession FTEF</t>
  </si>
  <si>
    <t>FTEF to Reduce</t>
  </si>
  <si>
    <t>Estimated 2021 Intersession  FTEF</t>
  </si>
  <si>
    <r>
      <t xml:space="preserve">FTEF @ </t>
    </r>
    <r>
      <rPr>
        <b/>
        <sz val="10"/>
        <rFont val="Bahnschrift Light"/>
        <family val="2"/>
      </rPr>
      <t xml:space="preserve">15.00 </t>
    </r>
    <r>
      <rPr>
        <sz val="10"/>
        <rFont val="Bahnschrift Light"/>
        <family val="2"/>
      </rPr>
      <t>(Colleges and CE) FTES / FTEF</t>
    </r>
  </si>
  <si>
    <r>
      <t xml:space="preserve">Estimated </t>
    </r>
    <r>
      <rPr>
        <b/>
        <sz val="10"/>
        <rFont val="Bahnschrift Light"/>
        <family val="2"/>
      </rPr>
      <t>2021 Intersession</t>
    </r>
    <r>
      <rPr>
        <sz val="10"/>
        <rFont val="Bahnschrift Light"/>
        <family val="2"/>
      </rPr>
      <t xml:space="preserve"> targets </t>
    </r>
  </si>
  <si>
    <t xml:space="preserve">Intersession Funds Allocation </t>
  </si>
  <si>
    <t>Total Contract Positions</t>
  </si>
  <si>
    <t>2201 - Benefits Filled - Instructional Classroom Support Staff</t>
  </si>
  <si>
    <t>2201 - Salary Filled - Instructional Classroom Support Staff</t>
  </si>
  <si>
    <t>2101 - Benefits Vacant - Nonclassroom Support Staff</t>
  </si>
  <si>
    <t>2101 - Salary Vacant - Nonclassroom Support Staff</t>
  </si>
  <si>
    <t>2101 - Benefits Filled - Nonclassroom Support Staff</t>
  </si>
  <si>
    <t>2101 - Salary Filled - Nonclassroom Support Staff</t>
  </si>
  <si>
    <t>1205 - Benefits Vacant - Counselors, Librarians and Nurses</t>
  </si>
  <si>
    <t>1205 - Salary Vacant - Counselors, Librarians and Nurses</t>
  </si>
  <si>
    <t>1205 - Benefits Filled - Counselors, Librarians and Nurses</t>
  </si>
  <si>
    <t>1205 - Salary Filled - Counselors, Librarians and Nurses</t>
  </si>
  <si>
    <t>1204 - Benefits Vacant - Dept. Charis &amp; Other Reassigned Time</t>
  </si>
  <si>
    <t>1204 - Salary Vacant - Dept. Chairs &amp; Other Reassigned Time</t>
  </si>
  <si>
    <t>1204 - Benefits Filled - Dept. Chairs &amp; Other Reassigned Time</t>
  </si>
  <si>
    <t>1204 - Salary Filled - Dept. Chairs &amp; Other Reassigned Time</t>
  </si>
  <si>
    <t xml:space="preserve">1201 - Benefits Vacant - Deans &amp; Academic Managers </t>
  </si>
  <si>
    <t xml:space="preserve">1201 - Salary Vacant - Deans &amp; Academic Managers </t>
  </si>
  <si>
    <t xml:space="preserve">1201 - Benefits Filled - Deans &amp; Academic Managers </t>
  </si>
  <si>
    <t xml:space="preserve">1201 - Salary Filled - Deans &amp; Academic Managers </t>
  </si>
  <si>
    <t>Balance of Contract Positions</t>
  </si>
  <si>
    <t>Total FTES</t>
  </si>
  <si>
    <t>Total Non-Resident FTES</t>
  </si>
  <si>
    <t>Total District Apportionment Funded FTES 2009-2010</t>
  </si>
  <si>
    <t>Total Funded FTES 2010-2011 on Model</t>
  </si>
  <si>
    <t>Total Earned FTES 2009-2010</t>
  </si>
  <si>
    <t xml:space="preserve">    In-Service FTES Miramar Only</t>
  </si>
  <si>
    <t xml:space="preserve">    College Non Credit (all semesters) (Resident and Non-Resident)</t>
  </si>
  <si>
    <t xml:space="preserve">    Summer</t>
  </si>
  <si>
    <t xml:space="preserve">    Intersession (includes Non Res)</t>
  </si>
  <si>
    <t xml:space="preserve">    Spring 2010 Non-Credit Continuing Ed Only</t>
  </si>
  <si>
    <t xml:space="preserve">    Fall 2009 Non-Credit Continuing Ed Only</t>
  </si>
  <si>
    <t xml:space="preserve">    Spring 2010 Credit</t>
  </si>
  <si>
    <t xml:space="preserve">    Fall 2009 Credit</t>
  </si>
  <si>
    <t xml:space="preserve">    Resident and Non-Resident</t>
  </si>
  <si>
    <t>ACTUAL FTES EARNED FOR FISCAL YEAR 2009-2010 vs FUNDED FTES</t>
  </si>
  <si>
    <t>Total FTEF Allocations</t>
  </si>
  <si>
    <t xml:space="preserve">Dept. Chair reassigned time </t>
  </si>
  <si>
    <t>Dept. Chair Reassigned Time (per contract- account 1204)</t>
  </si>
  <si>
    <t>Other reassigned time</t>
  </si>
  <si>
    <t>Other Reassigned Time (per contract)</t>
  </si>
  <si>
    <t>ESU Salary allocation</t>
  </si>
  <si>
    <t>ESU Salary and Benefits</t>
  </si>
  <si>
    <t xml:space="preserve"> ESU Benefits</t>
  </si>
  <si>
    <t xml:space="preserve"> ESU Salary</t>
  </si>
  <si>
    <t xml:space="preserve"> Dept. Chair ESU's </t>
  </si>
  <si>
    <t xml:space="preserve">Classroom Substitute Salary and Benefits allocation </t>
  </si>
  <si>
    <t>Total Adjunct/Overload Allocation</t>
  </si>
  <si>
    <t xml:space="preserve"> Adjunct/Overload Summer Allocation</t>
  </si>
  <si>
    <t xml:space="preserve"> Adjunct/Overload Spring Allocation</t>
  </si>
  <si>
    <t xml:space="preserve"> Adjunct/Overload Intersession Allocation</t>
  </si>
  <si>
    <t xml:space="preserve"> Adjunct/Overload Fall Allocation</t>
  </si>
  <si>
    <t>Total Adjunct/Overload Rate</t>
  </si>
  <si>
    <t>Adjunct/Overload  Benefits rate</t>
  </si>
  <si>
    <t>Adjunct/Overload  Salary rate</t>
  </si>
  <si>
    <t>Total Filled</t>
  </si>
  <si>
    <t xml:space="preserve">1101 - Budgeted Benefits Filled Contract </t>
  </si>
  <si>
    <t xml:space="preserve">1101 - Budgeted Salaries Filled Contract  </t>
  </si>
  <si>
    <t>Target FTEF</t>
  </si>
  <si>
    <t>Target Adjunct FTEF</t>
  </si>
  <si>
    <t>Target Contract FTEF</t>
  </si>
  <si>
    <t>Target FTES</t>
  </si>
  <si>
    <t>Estimated Summer  FTEF</t>
  </si>
  <si>
    <t>FTEF @ 15.00, 20 (Colleges, CE) FTES / FTEF</t>
  </si>
  <si>
    <t xml:space="preserve">Estimated Summer target (June,July and August) </t>
  </si>
  <si>
    <t xml:space="preserve">2024 Summer Funds Allocation </t>
  </si>
  <si>
    <t>Adjunct FTEF</t>
  </si>
  <si>
    <t>Contract FTEF</t>
  </si>
  <si>
    <t>Total Spring FTEF</t>
  </si>
  <si>
    <t xml:space="preserve">Estimated Spring Credit/Non-Credit Targets </t>
  </si>
  <si>
    <t xml:space="preserve">2025 Spring Funds Allocation </t>
  </si>
  <si>
    <t>Total Intersession FTEF</t>
  </si>
  <si>
    <t>FTEF @ 15.00 (Colleges) FTES / FTEF</t>
  </si>
  <si>
    <t xml:space="preserve">Estimated Intersession Credit/Non-Credit Targets </t>
  </si>
  <si>
    <t xml:space="preserve">2025 Intersession Funds Allocation </t>
  </si>
  <si>
    <t>Total Fall FTEF</t>
  </si>
  <si>
    <t>Estimated Fall Credit/Non-Credit Targets</t>
  </si>
  <si>
    <t xml:space="preserve">2024 Fall Funds Allocation </t>
  </si>
  <si>
    <t xml:space="preserve">FTES  </t>
  </si>
  <si>
    <t>TOTAL FUNDING</t>
  </si>
  <si>
    <t xml:space="preserve">Apportionment  Revenue </t>
  </si>
  <si>
    <t xml:space="preserve">Based on Target of 39,021 FTES </t>
  </si>
  <si>
    <r>
      <rPr>
        <b/>
        <sz val="14"/>
        <color rgb="FFFF0000"/>
        <rFont val="Bahnschrift Light"/>
        <family val="2"/>
      </rPr>
      <t xml:space="preserve"> </t>
    </r>
    <r>
      <rPr>
        <b/>
        <sz val="14"/>
        <color theme="9" tint="-0.249977111117893"/>
        <rFont val="Bahnschrift Light"/>
        <family val="2"/>
      </rPr>
      <t xml:space="preserve">GENERAL FUND UNRESTRICTED    </t>
    </r>
  </si>
  <si>
    <t xml:space="preserve">FY 2024-2025  TENTATIVE  BUDGET CAMPUS ALLOCATION </t>
  </si>
  <si>
    <t xml:space="preserve"> </t>
  </si>
  <si>
    <t>Per email received from CE 5.1.2023 (Mark Nesbit)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</si>
</sst>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_);[Red]\(#,##0.000\)"/>
    <numFmt numFmtId="167" formatCode="0.0%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Bahnschrift Light"/>
      <family val="2"/>
    </font>
    <font>
      <sz val="10"/>
      <name val="Bahnschrift Light"/>
      <family val="2"/>
    </font>
    <font>
      <u/>
      <sz val="12"/>
      <name val="Arial Narrow"/>
      <family val="2"/>
    </font>
    <font>
      <u/>
      <sz val="10"/>
      <name val="Bahnschrift Light"/>
      <family val="2"/>
    </font>
    <font>
      <b/>
      <sz val="10"/>
      <color indexed="18"/>
      <name val="Bahnschrift Light"/>
      <family val="2"/>
    </font>
    <font>
      <u val="singleAccounting"/>
      <sz val="10"/>
      <name val="Bahnschrift Light"/>
      <family val="2"/>
    </font>
    <font>
      <u val="doubleAccounting"/>
      <sz val="10"/>
      <name val="Bahnschrift Light"/>
      <family val="2"/>
    </font>
    <font>
      <i/>
      <sz val="10"/>
      <name val="Bahnschrift Light"/>
      <family val="2"/>
    </font>
    <font>
      <b/>
      <sz val="14"/>
      <name val="Bahnschrift Light"/>
      <family val="2"/>
    </font>
    <font>
      <b/>
      <sz val="12"/>
      <name val="Bahnschrift Light"/>
      <family val="2"/>
    </font>
    <font>
      <b/>
      <u/>
      <sz val="12"/>
      <color theme="9" tint="-0.249977111117893"/>
      <name val="Bahnschrift Light"/>
      <family val="2"/>
    </font>
    <font>
      <b/>
      <sz val="10"/>
      <color theme="9" tint="-0.499984740745262"/>
      <name val="Bahnschrift Light"/>
      <family val="2"/>
    </font>
    <font>
      <u val="doubleAccounting"/>
      <sz val="10"/>
      <color theme="9" tint="-0.499984740745262"/>
      <name val="Bahnschrift Light"/>
      <family val="2"/>
    </font>
    <font>
      <sz val="10"/>
      <color theme="9" tint="-0.499984740745262"/>
      <name val="Bahnschrift Light"/>
      <family val="2"/>
    </font>
    <font>
      <b/>
      <sz val="10"/>
      <color theme="1"/>
      <name val="Bahnschrift Light"/>
      <family val="2"/>
    </font>
    <font>
      <b/>
      <u/>
      <sz val="10"/>
      <name val="Bahnschrift Light"/>
      <family val="2"/>
    </font>
    <font>
      <sz val="12"/>
      <name val="Arial"/>
      <family val="2"/>
    </font>
    <font>
      <sz val="12"/>
      <name val="Bahnschrift Light"/>
      <family val="2"/>
    </font>
    <font>
      <b/>
      <u/>
      <sz val="10"/>
      <color indexed="18"/>
      <name val="Bahnschrift Light"/>
      <family val="2"/>
    </font>
    <font>
      <b/>
      <u/>
      <sz val="10"/>
      <name val="Arial Narrow"/>
      <family val="2"/>
    </font>
    <font>
      <b/>
      <u val="singleAccounting"/>
      <sz val="10"/>
      <name val="Bahnschrift Light"/>
      <family val="2"/>
    </font>
    <font>
      <b/>
      <u val="doubleAccounting"/>
      <sz val="10"/>
      <name val="Arial Narrow"/>
      <family val="2"/>
    </font>
    <font>
      <b/>
      <u val="doubleAccounting"/>
      <sz val="10"/>
      <name val="Bahnschrift Light"/>
      <family val="2"/>
    </font>
    <font>
      <b/>
      <u/>
      <sz val="10"/>
      <color rgb="FFCC66FF"/>
      <name val="Bahnschrift Light"/>
      <family val="2"/>
    </font>
    <font>
      <b/>
      <u/>
      <sz val="10"/>
      <color rgb="FF00B050"/>
      <name val="Bahnschrift Light"/>
      <family val="2"/>
    </font>
    <font>
      <b/>
      <u/>
      <sz val="10"/>
      <color rgb="FF2598CB"/>
      <name val="Bahnschrift Light"/>
      <family val="2"/>
    </font>
    <font>
      <b/>
      <u/>
      <sz val="10"/>
      <color rgb="FFFF7C80"/>
      <name val="Bahnschrift Light"/>
      <family val="2"/>
    </font>
    <font>
      <b/>
      <sz val="12"/>
      <color theme="9" tint="-0.249977111117893"/>
      <name val="Bahnschrift Light"/>
      <family val="2"/>
    </font>
    <font>
      <b/>
      <sz val="14"/>
      <name val="MS Sans Serif"/>
      <family val="2"/>
    </font>
    <font>
      <b/>
      <sz val="14"/>
      <name val="Arial Narrow"/>
      <family val="2"/>
    </font>
    <font>
      <b/>
      <sz val="14"/>
      <color indexed="32"/>
      <name val="Arial Narrow"/>
      <family val="2"/>
    </font>
    <font>
      <b/>
      <sz val="14"/>
      <name val="Arial"/>
      <family val="2"/>
    </font>
    <font>
      <b/>
      <sz val="14"/>
      <color theme="9" tint="-0.249977111117893"/>
      <name val="Bahnschrift Light"/>
      <family val="2"/>
    </font>
    <font>
      <b/>
      <sz val="14"/>
      <color indexed="32"/>
      <name val="Baskerville MT"/>
      <family val="1"/>
    </font>
    <font>
      <b/>
      <sz val="14"/>
      <color indexed="32"/>
      <name val="Bahnschrift Light"/>
      <family val="2"/>
    </font>
    <font>
      <b/>
      <sz val="14"/>
      <color rgb="FFFF0000"/>
      <name val="Bahnschrift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15DBD2"/>
        <bgColor indexed="64"/>
      </patternFill>
    </fill>
    <fill>
      <patternFill patternType="solid">
        <fgColor rgb="FF2598CB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CCC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0" borderId="0"/>
    <xf numFmtId="38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40" fontId="4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5"/>
    <xf numFmtId="164" fontId="2" fillId="0" borderId="0" xfId="5" applyNumberFormat="1"/>
    <xf numFmtId="165" fontId="3" fillId="0" borderId="0" xfId="1" applyNumberFormat="1" applyFont="1" applyFill="1"/>
    <xf numFmtId="38" fontId="5" fillId="0" borderId="0" xfId="6" applyFont="1" applyFill="1" applyBorder="1" applyAlignment="1">
      <alignment vertical="center"/>
    </xf>
    <xf numFmtId="0" fontId="2" fillId="0" borderId="0" xfId="7" applyAlignment="1">
      <alignment vertical="center"/>
    </xf>
    <xf numFmtId="0" fontId="6" fillId="0" borderId="0" xfId="8" applyFont="1" applyAlignment="1">
      <alignment vertical="center"/>
    </xf>
    <xf numFmtId="0" fontId="7" fillId="0" borderId="0" xfId="7" applyFont="1" applyAlignment="1">
      <alignment vertical="center"/>
    </xf>
    <xf numFmtId="164" fontId="10" fillId="3" borderId="2" xfId="6" applyNumberFormat="1" applyFont="1" applyFill="1" applyBorder="1" applyAlignment="1">
      <alignment vertical="center"/>
    </xf>
    <xf numFmtId="164" fontId="10" fillId="0" borderId="2" xfId="6" applyNumberFormat="1" applyFont="1" applyFill="1" applyBorder="1" applyAlignment="1">
      <alignment vertical="center"/>
    </xf>
    <xf numFmtId="0" fontId="11" fillId="0" borderId="0" xfId="7" applyFont="1" applyBorder="1" applyAlignment="1">
      <alignment vertical="center"/>
    </xf>
    <xf numFmtId="0" fontId="11" fillId="0" borderId="0" xfId="8" applyFont="1" applyBorder="1" applyAlignment="1">
      <alignment vertical="center"/>
    </xf>
    <xf numFmtId="0" fontId="10" fillId="0" borderId="0" xfId="7" applyFont="1" applyBorder="1" applyAlignment="1">
      <alignment vertical="center"/>
    </xf>
    <xf numFmtId="38" fontId="13" fillId="0" borderId="0" xfId="6" applyFont="1" applyFill="1" applyBorder="1" applyAlignment="1">
      <alignment vertical="center"/>
    </xf>
    <xf numFmtId="0" fontId="14" fillId="0" borderId="0" xfId="7" applyFont="1" applyBorder="1" applyAlignment="1">
      <alignment vertical="center"/>
    </xf>
    <xf numFmtId="42" fontId="10" fillId="0" borderId="0" xfId="6" applyNumberFormat="1" applyFont="1" applyFill="1" applyBorder="1" applyAlignment="1">
      <alignment vertical="center"/>
    </xf>
    <xf numFmtId="42" fontId="11" fillId="0" borderId="0" xfId="6" applyNumberFormat="1" applyFont="1" applyFill="1" applyBorder="1" applyAlignment="1">
      <alignment vertical="center"/>
    </xf>
    <xf numFmtId="42" fontId="11" fillId="0" borderId="2" xfId="6" applyNumberFormat="1" applyFont="1" applyFill="1" applyBorder="1" applyAlignment="1">
      <alignment vertical="center"/>
    </xf>
    <xf numFmtId="42" fontId="15" fillId="0" borderId="2" xfId="6" applyNumberFormat="1" applyFont="1" applyFill="1" applyBorder="1" applyAlignment="1" applyProtection="1">
      <alignment vertical="center"/>
      <protection locked="0"/>
    </xf>
    <xf numFmtId="42" fontId="11" fillId="0" borderId="2" xfId="6" applyNumberFormat="1" applyFont="1" applyFill="1" applyBorder="1" applyAlignment="1" applyProtection="1">
      <alignment vertical="center"/>
      <protection locked="0"/>
    </xf>
    <xf numFmtId="0" fontId="11" fillId="0" borderId="0" xfId="7" applyFont="1" applyFill="1" applyBorder="1" applyAlignment="1">
      <alignment vertical="center"/>
    </xf>
    <xf numFmtId="42" fontId="11" fillId="0" borderId="0" xfId="6" applyNumberFormat="1" applyFont="1" applyFill="1" applyBorder="1" applyAlignment="1" applyProtection="1">
      <alignment vertical="center"/>
      <protection locked="0"/>
    </xf>
    <xf numFmtId="38" fontId="16" fillId="0" borderId="0" xfId="6" applyFont="1" applyFill="1" applyBorder="1" applyAlignment="1">
      <alignment vertical="center"/>
    </xf>
    <xf numFmtId="9" fontId="16" fillId="0" borderId="0" xfId="3" applyFont="1" applyFill="1" applyBorder="1" applyAlignment="1">
      <alignment vertical="center"/>
    </xf>
    <xf numFmtId="9" fontId="10" fillId="0" borderId="0" xfId="3" applyFont="1" applyFill="1" applyBorder="1" applyAlignment="1">
      <alignment vertical="center"/>
    </xf>
    <xf numFmtId="38" fontId="10" fillId="0" borderId="0" xfId="6" applyFont="1" applyFill="1" applyBorder="1" applyAlignment="1">
      <alignment vertical="center"/>
    </xf>
    <xf numFmtId="164" fontId="10" fillId="0" borderId="2" xfId="2" applyNumberFormat="1" applyFont="1" applyFill="1" applyBorder="1" applyAlignment="1">
      <alignment vertical="center"/>
    </xf>
    <xf numFmtId="38" fontId="8" fillId="0" borderId="0" xfId="6" applyFont="1" applyFill="1" applyBorder="1" applyAlignment="1">
      <alignment vertical="center"/>
    </xf>
    <xf numFmtId="38" fontId="11" fillId="0" borderId="0" xfId="6" applyFont="1" applyFill="1" applyBorder="1" applyAlignment="1">
      <alignment vertical="center"/>
    </xf>
    <xf numFmtId="42" fontId="15" fillId="0" borderId="0" xfId="6" applyNumberFormat="1" applyFont="1" applyFill="1" applyBorder="1" applyAlignment="1">
      <alignment vertical="center"/>
    </xf>
    <xf numFmtId="42" fontId="15" fillId="0" borderId="0" xfId="6" applyNumberFormat="1" applyFont="1" applyFill="1" applyBorder="1" applyAlignment="1" applyProtection="1">
      <alignment vertical="center"/>
      <protection locked="0"/>
    </xf>
    <xf numFmtId="0" fontId="11" fillId="0" borderId="0" xfId="7" applyFont="1" applyBorder="1" applyAlignment="1" applyProtection="1">
      <alignment vertical="center"/>
      <protection locked="0"/>
    </xf>
    <xf numFmtId="0" fontId="11" fillId="0" borderId="0" xfId="5" applyFont="1" applyBorder="1" applyProtection="1">
      <protection locked="0"/>
    </xf>
    <xf numFmtId="0" fontId="11" fillId="0" borderId="0" xfId="8" applyFont="1" applyBorder="1" applyAlignment="1" applyProtection="1">
      <alignment vertical="center"/>
      <protection locked="0"/>
    </xf>
    <xf numFmtId="42" fontId="11" fillId="0" borderId="0" xfId="5" applyNumberFormat="1" applyFont="1" applyFill="1" applyBorder="1" applyProtection="1">
      <protection locked="0"/>
    </xf>
    <xf numFmtId="42" fontId="11" fillId="0" borderId="0" xfId="4" applyNumberFormat="1" applyFont="1" applyFill="1" applyBorder="1" applyAlignment="1">
      <alignment vertical="center"/>
    </xf>
    <xf numFmtId="42" fontId="11" fillId="0" borderId="0" xfId="4" applyNumberFormat="1" applyFont="1" applyFill="1" applyBorder="1" applyAlignment="1" applyProtection="1">
      <alignment vertical="center"/>
      <protection locked="0"/>
    </xf>
    <xf numFmtId="0" fontId="11" fillId="0" borderId="0" xfId="5" applyFont="1" applyBorder="1"/>
    <xf numFmtId="38" fontId="17" fillId="0" borderId="0" xfId="6" applyFont="1" applyFill="1" applyBorder="1" applyAlignment="1">
      <alignment vertical="center"/>
    </xf>
    <xf numFmtId="166" fontId="11" fillId="0" borderId="0" xfId="6" applyNumberFormat="1" applyFont="1" applyFill="1" applyBorder="1" applyAlignment="1">
      <alignment vertical="center"/>
    </xf>
    <xf numFmtId="38" fontId="18" fillId="0" borderId="0" xfId="6" quotePrefix="1" applyFont="1" applyFill="1" applyBorder="1" applyAlignment="1">
      <alignment horizontal="center" vertical="center"/>
    </xf>
    <xf numFmtId="38" fontId="19" fillId="4" borderId="0" xfId="6" applyFont="1" applyFill="1" applyBorder="1" applyAlignment="1">
      <alignment horizontal="center" vertical="center"/>
    </xf>
    <xf numFmtId="38" fontId="19" fillId="5" borderId="0" xfId="6" applyFont="1" applyFill="1" applyBorder="1" applyAlignment="1">
      <alignment horizontal="center" vertical="center"/>
    </xf>
    <xf numFmtId="38" fontId="19" fillId="6" borderId="0" xfId="6" applyFont="1" applyFill="1" applyBorder="1" applyAlignment="1">
      <alignment horizontal="center" vertical="center"/>
    </xf>
    <xf numFmtId="38" fontId="19" fillId="7" borderId="0" xfId="6" applyFont="1" applyFill="1" applyBorder="1" applyAlignment="1">
      <alignment horizontal="center" vertical="center"/>
    </xf>
    <xf numFmtId="0" fontId="11" fillId="0" borderId="0" xfId="5" applyFont="1" applyBorder="1" applyAlignment="1">
      <alignment vertical="center"/>
    </xf>
    <xf numFmtId="0" fontId="20" fillId="0" borderId="0" xfId="5" applyFont="1" applyBorder="1" applyAlignment="1">
      <alignment horizontal="left" vertical="center"/>
    </xf>
    <xf numFmtId="38" fontId="11" fillId="0" borderId="0" xfId="5" applyNumberFormat="1" applyFont="1" applyBorder="1" applyAlignment="1">
      <alignment vertical="center"/>
    </xf>
    <xf numFmtId="38" fontId="11" fillId="0" borderId="0" xfId="5" applyNumberFormat="1" applyFont="1" applyFill="1" applyBorder="1" applyAlignment="1">
      <alignment vertical="center"/>
    </xf>
    <xf numFmtId="0" fontId="10" fillId="0" borderId="0" xfId="5" applyFont="1" applyBorder="1" applyAlignment="1">
      <alignment vertical="center"/>
    </xf>
    <xf numFmtId="38" fontId="11" fillId="0" borderId="0" xfId="5" applyNumberFormat="1" applyFont="1" applyBorder="1"/>
    <xf numFmtId="164" fontId="21" fillId="0" borderId="0" xfId="2" applyNumberFormat="1" applyFont="1" applyFill="1" applyBorder="1" applyAlignment="1">
      <alignment vertical="center"/>
    </xf>
    <xf numFmtId="38" fontId="22" fillId="0" borderId="0" xfId="5" applyNumberFormat="1" applyFont="1" applyFill="1" applyBorder="1" applyAlignment="1">
      <alignment vertical="center"/>
    </xf>
    <xf numFmtId="38" fontId="22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/>
    <xf numFmtId="0" fontId="21" fillId="0" borderId="0" xfId="5" applyFont="1" applyBorder="1" applyAlignment="1">
      <alignment vertical="center"/>
    </xf>
    <xf numFmtId="164" fontId="11" fillId="0" borderId="0" xfId="2" applyNumberFormat="1" applyFont="1" applyFill="1" applyBorder="1" applyAlignment="1">
      <alignment vertical="center"/>
    </xf>
    <xf numFmtId="0" fontId="11" fillId="0" borderId="0" xfId="5" applyFont="1" applyFill="1" applyBorder="1"/>
    <xf numFmtId="38" fontId="11" fillId="0" borderId="0" xfId="4" applyNumberFormat="1" applyFont="1" applyFill="1" applyBorder="1" applyAlignment="1">
      <alignment vertical="center"/>
    </xf>
    <xf numFmtId="0" fontId="11" fillId="0" borderId="0" xfId="5" quotePrefix="1" applyFont="1" applyBorder="1" applyAlignment="1">
      <alignment horizontal="left" vertical="center"/>
    </xf>
    <xf numFmtId="1" fontId="11" fillId="0" borderId="0" xfId="5" applyNumberFormat="1" applyFont="1" applyBorder="1" applyAlignment="1">
      <alignment vertical="center"/>
    </xf>
    <xf numFmtId="44" fontId="11" fillId="0" borderId="0" xfId="2" applyFont="1" applyFill="1" applyBorder="1" applyAlignment="1">
      <alignment vertical="center"/>
    </xf>
    <xf numFmtId="38" fontId="10" fillId="0" borderId="0" xfId="5" applyNumberFormat="1" applyFont="1" applyBorder="1" applyAlignment="1">
      <alignment horizontal="center" vertical="center"/>
    </xf>
    <xf numFmtId="38" fontId="10" fillId="0" borderId="0" xfId="5" applyNumberFormat="1" applyFont="1" applyFill="1" applyBorder="1" applyAlignment="1">
      <alignment horizontal="center" vertical="center"/>
    </xf>
    <xf numFmtId="0" fontId="10" fillId="0" borderId="0" xfId="5" applyFont="1" applyBorder="1" applyAlignment="1">
      <alignment horizontal="left" vertical="center"/>
    </xf>
    <xf numFmtId="42" fontId="11" fillId="0" borderId="0" xfId="5" applyNumberFormat="1" applyFont="1" applyBorder="1" applyAlignment="1">
      <alignment vertical="center"/>
    </xf>
    <xf numFmtId="165" fontId="24" fillId="0" borderId="0" xfId="0" applyNumberFormat="1" applyFont="1" applyBorder="1" applyProtection="1">
      <protection locked="0"/>
    </xf>
    <xf numFmtId="165" fontId="24" fillId="0" borderId="0" xfId="0" applyNumberFormat="1" applyFont="1" applyFill="1" applyBorder="1" applyProtection="1">
      <protection locked="0"/>
    </xf>
    <xf numFmtId="38" fontId="19" fillId="0" borderId="0" xfId="6" quotePrefix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42" fontId="11" fillId="0" borderId="3" xfId="5" applyNumberFormat="1" applyFont="1" applyBorder="1" applyAlignment="1">
      <alignment vertical="center"/>
    </xf>
    <xf numFmtId="42" fontId="11" fillId="0" borderId="3" xfId="5" applyNumberFormat="1" applyFont="1" applyFill="1" applyBorder="1" applyAlignment="1">
      <alignment vertical="center"/>
    </xf>
    <xf numFmtId="42" fontId="11" fillId="0" borderId="0" xfId="5" applyNumberFormat="1" applyFont="1" applyFill="1" applyBorder="1" applyAlignment="1" applyProtection="1">
      <alignment vertical="center"/>
      <protection locked="0"/>
    </xf>
    <xf numFmtId="0" fontId="13" fillId="0" borderId="0" xfId="5" applyFont="1" applyFill="1" applyBorder="1" applyAlignment="1">
      <alignment vertical="center"/>
    </xf>
    <xf numFmtId="0" fontId="13" fillId="0" borderId="0" xfId="5" applyFont="1" applyFill="1" applyBorder="1"/>
    <xf numFmtId="0" fontId="25" fillId="0" borderId="0" xfId="5" applyFont="1" applyFill="1" applyBorder="1" applyAlignment="1">
      <alignment vertical="center"/>
    </xf>
    <xf numFmtId="42" fontId="11" fillId="0" borderId="0" xfId="5" applyNumberFormat="1" applyFont="1" applyFill="1" applyBorder="1" applyAlignment="1">
      <alignment vertical="center"/>
    </xf>
    <xf numFmtId="0" fontId="25" fillId="0" borderId="0" xfId="5" applyFont="1" applyFill="1" applyBorder="1"/>
    <xf numFmtId="0" fontId="10" fillId="0" borderId="0" xfId="5" applyFont="1" applyFill="1" applyBorder="1" applyAlignment="1">
      <alignment horizontal="left" vertical="center"/>
    </xf>
    <xf numFmtId="6" fontId="11" fillId="0" borderId="0" xfId="5" applyNumberFormat="1" applyFont="1" applyBorder="1" applyAlignment="1">
      <alignment vertical="center"/>
    </xf>
    <xf numFmtId="0" fontId="25" fillId="0" borderId="0" xfId="5" applyFont="1" applyBorder="1"/>
    <xf numFmtId="6" fontId="8" fillId="0" borderId="0" xfId="5" applyNumberFormat="1" applyFont="1" applyBorder="1" applyAlignment="1">
      <alignment vertical="center"/>
    </xf>
    <xf numFmtId="0" fontId="26" fillId="0" borderId="0" xfId="5" applyFont="1" applyBorder="1"/>
    <xf numFmtId="38" fontId="8" fillId="0" borderId="0" xfId="5" applyNumberFormat="1" applyFont="1" applyFill="1" applyBorder="1" applyAlignment="1">
      <alignment vertical="center"/>
    </xf>
    <xf numFmtId="165" fontId="27" fillId="0" borderId="0" xfId="1" applyNumberFormat="1" applyFont="1" applyFill="1" applyBorder="1"/>
    <xf numFmtId="0" fontId="27" fillId="0" borderId="0" xfId="5" applyFont="1" applyFill="1" applyBorder="1"/>
    <xf numFmtId="38" fontId="9" fillId="0" borderId="0" xfId="5" applyNumberFormat="1" applyFont="1" applyBorder="1" applyAlignment="1">
      <alignment horizontal="center" vertical="center"/>
    </xf>
    <xf numFmtId="38" fontId="8" fillId="0" borderId="0" xfId="5" applyNumberFormat="1" applyFont="1" applyBorder="1" applyAlignment="1">
      <alignment vertical="center"/>
    </xf>
    <xf numFmtId="0" fontId="26" fillId="0" borderId="0" xfId="5" applyFont="1" applyBorder="1" applyAlignment="1">
      <alignment vertical="center"/>
    </xf>
    <xf numFmtId="38" fontId="19" fillId="0" borderId="0" xfId="5" applyNumberFormat="1" applyFont="1" applyBorder="1" applyAlignment="1">
      <alignment horizontal="center" vertical="center"/>
    </xf>
    <xf numFmtId="0" fontId="11" fillId="0" borderId="0" xfId="9" applyFont="1" applyBorder="1" applyAlignment="1">
      <alignment vertical="center"/>
    </xf>
    <xf numFmtId="164" fontId="10" fillId="8" borderId="0" xfId="2" applyNumberFormat="1" applyFont="1" applyFill="1" applyBorder="1" applyAlignment="1">
      <alignment vertical="center"/>
    </xf>
    <xf numFmtId="38" fontId="11" fillId="0" borderId="0" xfId="9" applyNumberFormat="1" applyFont="1" applyBorder="1" applyAlignment="1">
      <alignment vertical="center"/>
    </xf>
    <xf numFmtId="38" fontId="11" fillId="8" borderId="0" xfId="9" applyNumberFormat="1" applyFont="1" applyFill="1" applyBorder="1" applyAlignment="1">
      <alignment vertical="center"/>
    </xf>
    <xf numFmtId="40" fontId="13" fillId="0" borderId="0" xfId="9" applyNumberFormat="1" applyFont="1" applyBorder="1" applyAlignment="1">
      <alignment vertical="center"/>
    </xf>
    <xf numFmtId="40" fontId="11" fillId="0" borderId="0" xfId="9" applyNumberFormat="1" applyFont="1" applyBorder="1" applyAlignment="1">
      <alignment vertical="center"/>
    </xf>
    <xf numFmtId="40" fontId="11" fillId="9" borderId="0" xfId="9" applyNumberFormat="1" applyFont="1" applyFill="1" applyBorder="1"/>
    <xf numFmtId="0" fontId="11" fillId="0" borderId="0" xfId="9" applyFont="1" applyBorder="1" applyAlignment="1">
      <alignment horizontal="left" vertical="center"/>
    </xf>
    <xf numFmtId="38" fontId="25" fillId="0" borderId="0" xfId="9" applyNumberFormat="1" applyFont="1" applyBorder="1" applyAlignment="1">
      <alignment horizontal="center" vertical="center"/>
    </xf>
    <xf numFmtId="0" fontId="28" fillId="0" borderId="0" xfId="5" applyFont="1" applyBorder="1" applyAlignment="1">
      <alignment horizontal="left" vertical="center"/>
    </xf>
    <xf numFmtId="0" fontId="19" fillId="0" borderId="0" xfId="5" applyFont="1" applyBorder="1" applyAlignment="1">
      <alignment horizontal="left" vertical="center"/>
    </xf>
    <xf numFmtId="42" fontId="15" fillId="0" borderId="0" xfId="5" applyNumberFormat="1" applyFont="1" applyFill="1" applyBorder="1" applyAlignment="1">
      <alignment vertical="center"/>
    </xf>
    <xf numFmtId="42" fontId="15" fillId="0" borderId="0" xfId="5" applyNumberFormat="1" applyFont="1" applyFill="1" applyBorder="1"/>
    <xf numFmtId="0" fontId="11" fillId="0" borderId="0" xfId="5" applyFont="1" applyFill="1" applyBorder="1" applyAlignment="1">
      <alignment horizontal="left" vertical="center"/>
    </xf>
    <xf numFmtId="42" fontId="11" fillId="0" borderId="0" xfId="5" applyNumberFormat="1" applyFont="1" applyFill="1" applyBorder="1"/>
    <xf numFmtId="0" fontId="11" fillId="0" borderId="0" xfId="5" quotePrefix="1" applyFont="1" applyFill="1" applyBorder="1" applyAlignment="1">
      <alignment vertical="center"/>
    </xf>
    <xf numFmtId="0" fontId="11" fillId="0" borderId="0" xfId="5" applyFont="1" applyBorder="1" applyAlignment="1">
      <alignment horizontal="left" vertical="center"/>
    </xf>
    <xf numFmtId="38" fontId="11" fillId="0" borderId="0" xfId="6" quotePrefix="1" applyFont="1" applyFill="1" applyBorder="1" applyAlignment="1">
      <alignment horizontal="left" vertical="center"/>
    </xf>
    <xf numFmtId="40" fontId="11" fillId="0" borderId="0" xfId="6" applyNumberFormat="1" applyFont="1" applyFill="1" applyBorder="1" applyAlignment="1">
      <alignment vertical="center"/>
    </xf>
    <xf numFmtId="38" fontId="11" fillId="0" borderId="0" xfId="6" applyFont="1" applyFill="1" applyBorder="1" applyAlignment="1">
      <alignment horizontal="left" vertical="center"/>
    </xf>
    <xf numFmtId="40" fontId="13" fillId="0" borderId="0" xfId="6" applyNumberFormat="1" applyFont="1" applyFill="1" applyBorder="1" applyAlignment="1">
      <alignment vertical="center"/>
    </xf>
    <xf numFmtId="38" fontId="10" fillId="0" borderId="0" xfId="6" applyFont="1" applyFill="1" applyBorder="1" applyAlignment="1">
      <alignment horizontal="left" vertical="center"/>
    </xf>
    <xf numFmtId="38" fontId="10" fillId="0" borderId="0" xfId="6" quotePrefix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horizontal="center" vertical="center"/>
    </xf>
    <xf numFmtId="38" fontId="12" fillId="0" borderId="0" xfId="5" applyNumberFormat="1" applyFont="1" applyBorder="1"/>
    <xf numFmtId="38" fontId="8" fillId="0" borderId="0" xfId="5" applyNumberFormat="1" applyFont="1" applyBorder="1"/>
    <xf numFmtId="0" fontId="8" fillId="0" borderId="0" xfId="5" applyFont="1" applyBorder="1"/>
    <xf numFmtId="42" fontId="25" fillId="0" borderId="0" xfId="5" applyNumberFormat="1" applyFont="1" applyBorder="1"/>
    <xf numFmtId="40" fontId="11" fillId="0" borderId="0" xfId="10" applyFont="1" applyFill="1" applyBorder="1" applyAlignment="1" applyProtection="1">
      <alignment vertical="center"/>
      <protection locked="0"/>
    </xf>
    <xf numFmtId="38" fontId="25" fillId="0" borderId="0" xfId="5" applyNumberFormat="1" applyFont="1" applyBorder="1"/>
    <xf numFmtId="38" fontId="25" fillId="0" borderId="0" xfId="5" applyNumberFormat="1" applyFont="1" applyFill="1" applyBorder="1"/>
    <xf numFmtId="42" fontId="25" fillId="0" borderId="0" xfId="5" applyNumberFormat="1" applyFont="1" applyFill="1" applyBorder="1"/>
    <xf numFmtId="40" fontId="11" fillId="0" borderId="0" xfId="6" applyNumberFormat="1" applyFont="1" applyFill="1" applyBorder="1" applyAlignment="1" applyProtection="1">
      <alignment vertical="center"/>
      <protection locked="0"/>
    </xf>
    <xf numFmtId="38" fontId="11" fillId="0" borderId="0" xfId="5" applyNumberFormat="1" applyFont="1" applyFill="1" applyBorder="1"/>
    <xf numFmtId="42" fontId="13" fillId="0" borderId="0" xfId="5" applyNumberFormat="1" applyFont="1" applyFill="1" applyBorder="1"/>
    <xf numFmtId="0" fontId="11" fillId="0" borderId="0" xfId="5" applyFont="1" applyBorder="1" applyAlignment="1">
      <alignment horizontal="left"/>
    </xf>
    <xf numFmtId="40" fontId="11" fillId="0" borderId="0" xfId="10" applyFont="1" applyFill="1" applyBorder="1" applyAlignment="1">
      <alignment vertical="center"/>
    </xf>
    <xf numFmtId="38" fontId="29" fillId="0" borderId="0" xfId="5" applyNumberFormat="1" applyFont="1" applyFill="1" applyBorder="1"/>
    <xf numFmtId="0" fontId="6" fillId="0" borderId="0" xfId="5" applyFont="1" applyBorder="1"/>
    <xf numFmtId="0" fontId="2" fillId="0" borderId="0" xfId="5" applyFont="1" applyBorder="1"/>
    <xf numFmtId="0" fontId="2" fillId="0" borderId="0" xfId="5" applyFill="1"/>
    <xf numFmtId="42" fontId="25" fillId="0" borderId="0" xfId="6" applyNumberFormat="1" applyFont="1" applyFill="1" applyBorder="1" applyAlignment="1">
      <alignment vertical="center"/>
    </xf>
    <xf numFmtId="38" fontId="11" fillId="0" borderId="0" xfId="6" applyFont="1" applyFill="1" applyBorder="1" applyAlignment="1">
      <alignment horizontal="right" vertical="center"/>
    </xf>
    <xf numFmtId="42" fontId="30" fillId="0" borderId="0" xfId="6" applyNumberFormat="1" applyFont="1" applyFill="1" applyBorder="1" applyAlignment="1">
      <alignment vertical="center"/>
    </xf>
    <xf numFmtId="38" fontId="13" fillId="0" borderId="0" xfId="6" quotePrefix="1" applyFont="1" applyFill="1" applyBorder="1" applyAlignment="1">
      <alignment vertical="center"/>
    </xf>
    <xf numFmtId="42" fontId="13" fillId="0" borderId="0" xfId="6" quotePrefix="1" applyNumberFormat="1" applyFont="1" applyFill="1" applyBorder="1" applyAlignment="1">
      <alignment vertical="center"/>
    </xf>
    <xf numFmtId="42" fontId="13" fillId="0" borderId="0" xfId="6" applyNumberFormat="1" applyFont="1" applyFill="1" applyBorder="1" applyAlignment="1">
      <alignment vertical="center"/>
    </xf>
    <xf numFmtId="6" fontId="13" fillId="0" borderId="0" xfId="6" applyNumberFormat="1" applyFont="1" applyFill="1" applyBorder="1" applyAlignment="1">
      <alignment vertical="center"/>
    </xf>
    <xf numFmtId="6" fontId="11" fillId="0" borderId="0" xfId="6" applyNumberFormat="1" applyFont="1" applyFill="1" applyBorder="1" applyAlignment="1">
      <alignment vertical="center"/>
    </xf>
    <xf numFmtId="42" fontId="31" fillId="0" borderId="0" xfId="6" applyNumberFormat="1" applyFont="1" applyFill="1" applyBorder="1" applyAlignment="1">
      <alignment vertical="center"/>
    </xf>
    <xf numFmtId="38" fontId="6" fillId="0" borderId="0" xfId="6" applyFont="1" applyFill="1" applyBorder="1" applyAlignment="1">
      <alignment horizontal="right" vertical="center"/>
    </xf>
    <xf numFmtId="0" fontId="2" fillId="0" borderId="0" xfId="5" applyFont="1" applyFill="1" applyBorder="1"/>
    <xf numFmtId="42" fontId="32" fillId="0" borderId="0" xfId="6" applyNumberFormat="1" applyFont="1" applyFill="1" applyBorder="1" applyAlignment="1">
      <alignment vertical="center"/>
    </xf>
    <xf numFmtId="42" fontId="11" fillId="0" borderId="0" xfId="6" quotePrefix="1" applyNumberFormat="1" applyFont="1" applyFill="1" applyBorder="1" applyAlignment="1">
      <alignment vertical="center"/>
    </xf>
    <xf numFmtId="38" fontId="6" fillId="0" borderId="0" xfId="6" applyFont="1" applyFill="1" applyBorder="1" applyAlignment="1">
      <alignment vertical="center"/>
    </xf>
    <xf numFmtId="38" fontId="5" fillId="0" borderId="0" xfId="6" quotePrefix="1" applyFont="1" applyFill="1" applyBorder="1" applyAlignment="1">
      <alignment horizontal="left" vertical="center"/>
    </xf>
    <xf numFmtId="40" fontId="10" fillId="0" borderId="0" xfId="9" applyNumberFormat="1" applyFont="1" applyFill="1" applyBorder="1" applyAlignment="1">
      <alignment vertical="center"/>
    </xf>
    <xf numFmtId="40" fontId="10" fillId="0" borderId="0" xfId="10" applyNumberFormat="1" applyFont="1" applyFill="1" applyBorder="1" applyAlignment="1">
      <alignment vertical="center"/>
    </xf>
    <xf numFmtId="40" fontId="10" fillId="0" borderId="0" xfId="10" applyFont="1" applyFill="1" applyBorder="1" applyAlignment="1">
      <alignment vertical="center"/>
    </xf>
    <xf numFmtId="0" fontId="10" fillId="0" borderId="0" xfId="5" applyFont="1" applyFill="1" applyBorder="1"/>
    <xf numFmtId="0" fontId="24" fillId="0" borderId="0" xfId="0" applyFont="1" applyFill="1" applyBorder="1"/>
    <xf numFmtId="38" fontId="25" fillId="0" borderId="0" xfId="9" applyNumberFormat="1" applyFont="1" applyFill="1" applyBorder="1" applyAlignment="1">
      <alignment vertical="center"/>
    </xf>
    <xf numFmtId="40" fontId="25" fillId="0" borderId="0" xfId="10" applyFont="1" applyFill="1" applyBorder="1" applyAlignment="1">
      <alignment vertical="center"/>
    </xf>
    <xf numFmtId="38" fontId="10" fillId="0" borderId="0" xfId="9" applyNumberFormat="1" applyFont="1" applyFill="1" applyBorder="1" applyAlignment="1">
      <alignment vertical="center"/>
    </xf>
    <xf numFmtId="0" fontId="10" fillId="0" borderId="0" xfId="9" applyFont="1" applyFill="1" applyBorder="1" applyAlignment="1">
      <alignment vertical="center"/>
    </xf>
    <xf numFmtId="40" fontId="25" fillId="0" borderId="0" xfId="9" applyNumberFormat="1" applyFont="1" applyFill="1" applyBorder="1" applyAlignment="1">
      <alignment vertical="center"/>
    </xf>
    <xf numFmtId="40" fontId="10" fillId="0" borderId="0" xfId="9" applyNumberFormat="1" applyFont="1" applyFill="1" applyBorder="1" applyProtection="1">
      <protection locked="0"/>
    </xf>
    <xf numFmtId="40" fontId="10" fillId="0" borderId="0" xfId="9" applyNumberFormat="1" applyFont="1" applyFill="1" applyBorder="1" applyAlignment="1" applyProtection="1">
      <alignment vertical="center"/>
      <protection locked="0"/>
    </xf>
    <xf numFmtId="0" fontId="10" fillId="0" borderId="0" xfId="9" applyFont="1" applyFill="1" applyBorder="1" applyAlignment="1">
      <alignment horizontal="left" vertical="center"/>
    </xf>
    <xf numFmtId="38" fontId="25" fillId="0" borderId="0" xfId="9" applyNumberFormat="1" applyFont="1" applyFill="1" applyBorder="1" applyAlignment="1">
      <alignment horizontal="center" vertical="center"/>
    </xf>
    <xf numFmtId="0" fontId="33" fillId="0" borderId="0" xfId="5" applyFont="1" applyFill="1" applyBorder="1" applyAlignment="1">
      <alignment horizontal="left" vertical="center"/>
    </xf>
    <xf numFmtId="40" fontId="10" fillId="0" borderId="0" xfId="9" applyNumberFormat="1" applyFont="1" applyFill="1" applyBorder="1" applyAlignment="1" applyProtection="1">
      <alignment horizontal="right" vertical="center"/>
      <protection locked="0"/>
    </xf>
    <xf numFmtId="0" fontId="34" fillId="0" borderId="0" xfId="5" applyFont="1" applyFill="1" applyBorder="1" applyAlignment="1">
      <alignment horizontal="left" vertical="center"/>
    </xf>
    <xf numFmtId="0" fontId="35" fillId="0" borderId="0" xfId="5" applyFont="1" applyFill="1" applyBorder="1" applyAlignment="1">
      <alignment horizontal="left" vertical="center"/>
    </xf>
    <xf numFmtId="40" fontId="25" fillId="0" borderId="0" xfId="9" applyNumberFormat="1" applyFont="1" applyFill="1" applyBorder="1" applyAlignment="1" applyProtection="1">
      <alignment vertical="center"/>
      <protection locked="0"/>
    </xf>
    <xf numFmtId="0" fontId="36" fillId="0" borderId="0" xfId="5" applyFont="1" applyFill="1" applyBorder="1" applyAlignment="1">
      <alignment horizontal="left" vertical="center"/>
    </xf>
    <xf numFmtId="38" fontId="25" fillId="0" borderId="0" xfId="6" quotePrefix="1" applyFont="1" applyFill="1" applyBorder="1" applyAlignment="1">
      <alignment horizontal="left" vertical="center"/>
    </xf>
    <xf numFmtId="38" fontId="7" fillId="0" borderId="0" xfId="5" applyNumberFormat="1" applyFont="1"/>
    <xf numFmtId="38" fontId="10" fillId="10" borderId="0" xfId="6" applyFont="1" applyFill="1" applyBorder="1" applyAlignment="1">
      <alignment vertical="center"/>
    </xf>
    <xf numFmtId="38" fontId="10" fillId="11" borderId="0" xfId="6" applyFont="1" applyFill="1" applyBorder="1" applyAlignment="1">
      <alignment vertical="center"/>
    </xf>
    <xf numFmtId="38" fontId="10" fillId="12" borderId="0" xfId="6" applyFont="1" applyFill="1" applyBorder="1" applyAlignment="1">
      <alignment vertical="center"/>
    </xf>
    <xf numFmtId="38" fontId="10" fillId="13" borderId="0" xfId="6" applyFont="1" applyFill="1" applyBorder="1" applyAlignment="1">
      <alignment vertical="center"/>
    </xf>
    <xf numFmtId="38" fontId="37" fillId="0" borderId="0" xfId="6" applyFont="1" applyFill="1" applyBorder="1" applyAlignment="1">
      <alignment vertical="center"/>
    </xf>
    <xf numFmtId="165" fontId="30" fillId="0" borderId="0" xfId="1" applyNumberFormat="1" applyFont="1" applyFill="1" applyBorder="1" applyAlignment="1">
      <alignment vertical="center"/>
    </xf>
    <xf numFmtId="38" fontId="25" fillId="0" borderId="0" xfId="6" applyFont="1" applyFill="1" applyBorder="1" applyAlignment="1">
      <alignment vertical="center"/>
    </xf>
    <xf numFmtId="38" fontId="38" fillId="0" borderId="0" xfId="6" applyFont="1" applyFill="1" applyAlignment="1">
      <alignment vertical="center"/>
    </xf>
    <xf numFmtId="38" fontId="39" fillId="0" borderId="0" xfId="6" applyFont="1" applyFill="1" applyAlignment="1">
      <alignment vertical="center"/>
    </xf>
    <xf numFmtId="38" fontId="18" fillId="0" borderId="0" xfId="6" quotePrefix="1" applyFont="1" applyFill="1" applyAlignment="1">
      <alignment horizontal="center" vertical="center"/>
    </xf>
    <xf numFmtId="38" fontId="39" fillId="0" borderId="0" xfId="6" quotePrefix="1" applyFont="1" applyFill="1" applyAlignment="1">
      <alignment horizontal="left" vertical="center"/>
    </xf>
    <xf numFmtId="38" fontId="40" fillId="0" borderId="0" xfId="6" quotePrefix="1" applyFont="1" applyFill="1" applyAlignment="1">
      <alignment horizontal="center" vertical="center"/>
    </xf>
    <xf numFmtId="0" fontId="41" fillId="0" borderId="0" xfId="5" applyFont="1" applyFill="1" applyAlignment="1">
      <alignment vertical="center"/>
    </xf>
    <xf numFmtId="38" fontId="39" fillId="0" borderId="0" xfId="6" quotePrefix="1" applyFont="1" applyFill="1" applyAlignment="1">
      <alignment horizontal="center" vertical="center"/>
    </xf>
    <xf numFmtId="38" fontId="39" fillId="0" borderId="0" xfId="6" applyFont="1" applyFill="1" applyAlignment="1">
      <alignment horizontal="left" vertical="center"/>
    </xf>
    <xf numFmtId="0" fontId="11" fillId="0" borderId="0" xfId="5" quotePrefix="1" applyFont="1" applyFill="1" applyBorder="1" applyAlignment="1">
      <alignment horizontal="left" vertical="center"/>
    </xf>
    <xf numFmtId="0" fontId="0" fillId="0" borderId="0" xfId="0" applyFill="1"/>
    <xf numFmtId="38" fontId="19" fillId="0" borderId="0" xfId="6" quotePrefix="1" applyFont="1" applyFill="1" applyBorder="1" applyAlignment="1">
      <alignment horizontal="right" vertical="center"/>
    </xf>
    <xf numFmtId="164" fontId="19" fillId="0" borderId="2" xfId="2" applyNumberFormat="1" applyFont="1" applyFill="1" applyBorder="1" applyAlignment="1">
      <alignment vertical="center"/>
    </xf>
    <xf numFmtId="164" fontId="19" fillId="0" borderId="2" xfId="5" applyNumberFormat="1" applyFont="1" applyBorder="1"/>
    <xf numFmtId="0" fontId="2" fillId="0" borderId="0" xfId="5" applyFill="1" applyProtection="1">
      <protection locked="0"/>
    </xf>
    <xf numFmtId="167" fontId="48" fillId="0" borderId="0" xfId="3" applyNumberFormat="1" applyFont="1" applyAlignment="1">
      <alignment horizontal="center"/>
    </xf>
    <xf numFmtId="38" fontId="10" fillId="0" borderId="0" xfId="6" applyFont="1" applyFill="1" applyBorder="1" applyAlignment="1">
      <alignment horizontal="center" vertical="center"/>
    </xf>
    <xf numFmtId="38" fontId="43" fillId="0" borderId="0" xfId="6" applyFont="1" applyFill="1" applyAlignment="1">
      <alignment horizontal="center" vertical="center"/>
    </xf>
    <xf numFmtId="38" fontId="42" fillId="0" borderId="0" xfId="6" applyFont="1" applyFill="1" applyAlignment="1" applyProtection="1">
      <alignment horizontal="center" vertical="center"/>
      <protection locked="0"/>
    </xf>
    <xf numFmtId="38" fontId="44" fillId="0" borderId="0" xfId="6" applyFont="1" applyFill="1" applyAlignment="1">
      <alignment horizontal="center" vertical="center"/>
    </xf>
    <xf numFmtId="38" fontId="40" fillId="0" borderId="0" xfId="6" applyFont="1" applyFill="1" applyAlignment="1">
      <alignment horizontal="center" vertical="center"/>
    </xf>
    <xf numFmtId="38" fontId="11" fillId="0" borderId="0" xfId="6" applyFont="1" applyFill="1" applyBorder="1" applyAlignment="1">
      <alignment horizontal="right" vertical="center"/>
    </xf>
  </cellXfs>
  <cellStyles count="11">
    <cellStyle name="Comma" xfId="1" builtinId="3"/>
    <cellStyle name="Comma [0]_1996-97 Model #3d" xfId="6" xr:uid="{C7247467-8369-4125-ACC2-ACE979226D35}"/>
    <cellStyle name="Comma_1996-97 Model #3d" xfId="10" xr:uid="{7B31493B-F765-471E-91A2-C424172ACA5B}"/>
    <cellStyle name="Currency" xfId="2" builtinId="4"/>
    <cellStyle name="Normal" xfId="0" builtinId="0"/>
    <cellStyle name="Normal_1996-97 Model #3d" xfId="8" xr:uid="{BDC31BA9-3769-48A9-9D29-55D9B4100BDD}"/>
    <cellStyle name="Normal_FTES" xfId="5" xr:uid="{43476E6E-B8A0-4B1E-B692-ABD77B478F61}"/>
    <cellStyle name="Normal_FTES 2 2" xfId="9" xr:uid="{3C46F038-4467-405E-9D88-DD400FA625D6}"/>
    <cellStyle name="Normal_MODEL" xfId="7" xr:uid="{EF271B8B-BBA6-4EC1-8AAA-92AC4E3DE786}"/>
    <cellStyle name="Note" xfId="4" builtinId="1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735157</xdr:colOff>
      <xdr:row>0</xdr:row>
      <xdr:rowOff>184437</xdr:rowOff>
    </xdr:from>
    <xdr:to>
      <xdr:col>1</xdr:col>
      <xdr:colOff>1558637</xdr:colOff>
      <xdr:row>3</xdr:row>
      <xdr:rowOff>138546</xdr:rowOff>
    </xdr:to>
    <xdr:pic>
      <xdr:nvPicPr>
        <xdr:cNvPr id="2" name="Picture 1" descr="cid:image002.png@01D9DCE5.FFFC0BF0">
          <a:extLst>
            <a:ext uri="{FF2B5EF4-FFF2-40B4-BE49-F238E27FC236}">
              <a16:creationId xmlns:a16="http://schemas.microsoft.com/office/drawing/2014/main" id="{D7ACE32B-598D-4B3D-B005-C01016DAB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339" y="184437"/>
          <a:ext cx="823480" cy="6329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UDGET/EXCEL/2024-2025%20Budget%20Development/FY25%20Tentative%20Budget/CAM/DRAFT%20-%20FY%2024.25%20BAM%20and%20CAM%20TENTATIVE%20-%20Projected%20P1%20REV%20-%20REGULAR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nt Disc and ESU"/>
      <sheetName val="FTES Targets FY 24-25"/>
      <sheetName val=" BAM-TENTATIVE-FY25-COLA 1.07%"/>
      <sheetName val="FY25-TENTATIVE CAM-FINAL5.15.24"/>
      <sheetName val="Target Comparison FY25-FY24"/>
      <sheetName val="Adjunct rate Calulation - Notes"/>
      <sheetName val="Adjunct rate Calulation-UPDATED"/>
    </sheetNames>
    <sheetDataSet>
      <sheetData sheetId="0">
        <row r="9">
          <cell r="C9">
            <v>1179.099136</v>
          </cell>
        </row>
      </sheetData>
      <sheetData sheetId="1" refreshError="1"/>
      <sheetData sheetId="2">
        <row r="30">
          <cell r="F30">
            <v>77966389</v>
          </cell>
          <cell r="G30">
            <v>111510284</v>
          </cell>
          <cell r="H30">
            <v>71912349</v>
          </cell>
          <cell r="I30">
            <v>63710757</v>
          </cell>
        </row>
      </sheetData>
      <sheetData sheetId="3" refreshError="1"/>
      <sheetData sheetId="4" refreshError="1"/>
      <sheetData sheetId="5" refreshError="1"/>
      <sheetData sheetId="6">
        <row r="8">
          <cell r="E8">
            <v>21000</v>
          </cell>
        </row>
        <row r="9">
          <cell r="E9">
            <v>4782.75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3918F-5326-4CAE-8B84-D0988BBBBE1D}">
  <sheetPr>
    <tabColor rgb="FF00B050"/>
    <pageSetUpPr fitToPage="1"/>
  </sheetPr>
  <dimension ref="A1:J208"/>
  <sheetViews>
    <sheetView showGridLines="0" tabSelected="1" zoomScale="110" zoomScaleNormal="110" workbookViewId="0">
      <pane ySplit="9" topLeftCell="A10" activePane="bottomLeft" state="frozen"/>
      <selection activeCell="B1" sqref="B1"/>
      <selection pane="bottomLeft" activeCell="D198" sqref="D198"/>
    </sheetView>
  </sheetViews>
  <sheetFormatPr defaultColWidth="9.140625" defaultRowHeight="15"/>
  <cols>
    <col min="1" max="1" width="2.5703125" style="133" customWidth="1"/>
    <col min="2" max="2" width="25.140625" style="1" customWidth="1"/>
    <col min="3" max="3" width="11.5703125" style="1" customWidth="1"/>
    <col min="4" max="4" width="49.85546875" style="1" customWidth="1"/>
    <col min="5" max="8" width="18.28515625" style="1" customWidth="1"/>
    <col min="9" max="9" width="20.85546875" style="1" bestFit="1" customWidth="1"/>
    <col min="10" max="10" width="9.42578125" bestFit="1" customWidth="1"/>
    <col min="11" max="11" width="13.42578125" customWidth="1"/>
    <col min="12" max="13" width="9.140625" customWidth="1"/>
    <col min="20" max="20" width="12.28515625" bestFit="1" customWidth="1"/>
    <col min="22" max="22" width="12.28515625" bestFit="1" customWidth="1"/>
    <col min="23" max="23" width="11.5703125" bestFit="1" customWidth="1"/>
    <col min="252" max="253" width="9.140625" customWidth="1"/>
    <col min="254" max="254" width="44.140625" customWidth="1"/>
    <col min="255" max="255" width="10.85546875" customWidth="1"/>
    <col min="256" max="257" width="11" customWidth="1"/>
    <col min="258" max="258" width="11.85546875" customWidth="1"/>
    <col min="259" max="259" width="12.85546875" customWidth="1"/>
    <col min="260" max="260" width="5.28515625" customWidth="1"/>
    <col min="261" max="261" width="12.42578125" customWidth="1"/>
    <col min="508" max="509" width="9.140625" customWidth="1"/>
    <col min="510" max="510" width="44.140625" customWidth="1"/>
    <col min="511" max="511" width="10.85546875" customWidth="1"/>
    <col min="512" max="513" width="11" customWidth="1"/>
    <col min="514" max="514" width="11.85546875" customWidth="1"/>
    <col min="515" max="515" width="12.85546875" customWidth="1"/>
    <col min="516" max="516" width="5.28515625" customWidth="1"/>
    <col min="517" max="517" width="12.42578125" customWidth="1"/>
    <col min="764" max="765" width="9.140625" customWidth="1"/>
    <col min="766" max="766" width="44.140625" customWidth="1"/>
    <col min="767" max="767" width="10.85546875" customWidth="1"/>
    <col min="768" max="769" width="11" customWidth="1"/>
    <col min="770" max="770" width="11.85546875" customWidth="1"/>
    <col min="771" max="771" width="12.85546875" customWidth="1"/>
    <col min="772" max="772" width="5.28515625" customWidth="1"/>
    <col min="773" max="773" width="12.42578125" customWidth="1"/>
    <col min="1020" max="1021" width="9.140625" customWidth="1"/>
    <col min="1022" max="1022" width="44.140625" customWidth="1"/>
    <col min="1023" max="1023" width="10.85546875" customWidth="1"/>
    <col min="1024" max="1025" width="11" customWidth="1"/>
    <col min="1026" max="1026" width="11.85546875" customWidth="1"/>
    <col min="1027" max="1027" width="12.85546875" customWidth="1"/>
    <col min="1028" max="1028" width="5.28515625" customWidth="1"/>
    <col min="1029" max="1029" width="12.42578125" customWidth="1"/>
    <col min="1276" max="1277" width="9.140625" customWidth="1"/>
    <col min="1278" max="1278" width="44.140625" customWidth="1"/>
    <col min="1279" max="1279" width="10.85546875" customWidth="1"/>
    <col min="1280" max="1281" width="11" customWidth="1"/>
    <col min="1282" max="1282" width="11.85546875" customWidth="1"/>
    <col min="1283" max="1283" width="12.85546875" customWidth="1"/>
    <col min="1284" max="1284" width="5.28515625" customWidth="1"/>
    <col min="1285" max="1285" width="12.42578125" customWidth="1"/>
    <col min="1532" max="1533" width="9.140625" customWidth="1"/>
    <col min="1534" max="1534" width="44.140625" customWidth="1"/>
    <col min="1535" max="1535" width="10.85546875" customWidth="1"/>
    <col min="1536" max="1537" width="11" customWidth="1"/>
    <col min="1538" max="1538" width="11.85546875" customWidth="1"/>
    <col min="1539" max="1539" width="12.85546875" customWidth="1"/>
    <col min="1540" max="1540" width="5.28515625" customWidth="1"/>
    <col min="1541" max="1541" width="12.42578125" customWidth="1"/>
    <col min="1788" max="1789" width="9.140625" customWidth="1"/>
    <col min="1790" max="1790" width="44.140625" customWidth="1"/>
    <col min="1791" max="1791" width="10.85546875" customWidth="1"/>
    <col min="1792" max="1793" width="11" customWidth="1"/>
    <col min="1794" max="1794" width="11.85546875" customWidth="1"/>
    <col min="1795" max="1795" width="12.85546875" customWidth="1"/>
    <col min="1796" max="1796" width="5.28515625" customWidth="1"/>
    <col min="1797" max="1797" width="12.42578125" customWidth="1"/>
    <col min="2044" max="2045" width="9.140625" customWidth="1"/>
    <col min="2046" max="2046" width="44.140625" customWidth="1"/>
    <col min="2047" max="2047" width="10.85546875" customWidth="1"/>
    <col min="2048" max="2049" width="11" customWidth="1"/>
    <col min="2050" max="2050" width="11.85546875" customWidth="1"/>
    <col min="2051" max="2051" width="12.85546875" customWidth="1"/>
    <col min="2052" max="2052" width="5.28515625" customWidth="1"/>
    <col min="2053" max="2053" width="12.42578125" customWidth="1"/>
    <col min="2300" max="2301" width="9.140625" customWidth="1"/>
    <col min="2302" max="2302" width="44.140625" customWidth="1"/>
    <col min="2303" max="2303" width="10.85546875" customWidth="1"/>
    <col min="2304" max="2305" width="11" customWidth="1"/>
    <col min="2306" max="2306" width="11.85546875" customWidth="1"/>
    <col min="2307" max="2307" width="12.85546875" customWidth="1"/>
    <col min="2308" max="2308" width="5.28515625" customWidth="1"/>
    <col min="2309" max="2309" width="12.42578125" customWidth="1"/>
    <col min="2556" max="2557" width="9.140625" customWidth="1"/>
    <col min="2558" max="2558" width="44.140625" customWidth="1"/>
    <col min="2559" max="2559" width="10.85546875" customWidth="1"/>
    <col min="2560" max="2561" width="11" customWidth="1"/>
    <col min="2562" max="2562" width="11.85546875" customWidth="1"/>
    <col min="2563" max="2563" width="12.85546875" customWidth="1"/>
    <col min="2564" max="2564" width="5.28515625" customWidth="1"/>
    <col min="2565" max="2565" width="12.42578125" customWidth="1"/>
    <col min="2812" max="2813" width="9.140625" customWidth="1"/>
    <col min="2814" max="2814" width="44.140625" customWidth="1"/>
    <col min="2815" max="2815" width="10.85546875" customWidth="1"/>
    <col min="2816" max="2817" width="11" customWidth="1"/>
    <col min="2818" max="2818" width="11.85546875" customWidth="1"/>
    <col min="2819" max="2819" width="12.85546875" customWidth="1"/>
    <col min="2820" max="2820" width="5.28515625" customWidth="1"/>
    <col min="2821" max="2821" width="12.42578125" customWidth="1"/>
    <col min="3068" max="3069" width="9.140625" customWidth="1"/>
    <col min="3070" max="3070" width="44.140625" customWidth="1"/>
    <col min="3071" max="3071" width="10.85546875" customWidth="1"/>
    <col min="3072" max="3073" width="11" customWidth="1"/>
    <col min="3074" max="3074" width="11.85546875" customWidth="1"/>
    <col min="3075" max="3075" width="12.85546875" customWidth="1"/>
    <col min="3076" max="3076" width="5.28515625" customWidth="1"/>
    <col min="3077" max="3077" width="12.42578125" customWidth="1"/>
    <col min="3324" max="3325" width="9.140625" customWidth="1"/>
    <col min="3326" max="3326" width="44.140625" customWidth="1"/>
    <col min="3327" max="3327" width="10.85546875" customWidth="1"/>
    <col min="3328" max="3329" width="11" customWidth="1"/>
    <col min="3330" max="3330" width="11.85546875" customWidth="1"/>
    <col min="3331" max="3331" width="12.85546875" customWidth="1"/>
    <col min="3332" max="3332" width="5.28515625" customWidth="1"/>
    <col min="3333" max="3333" width="12.42578125" customWidth="1"/>
    <col min="3580" max="3581" width="9.140625" customWidth="1"/>
    <col min="3582" max="3582" width="44.140625" customWidth="1"/>
    <col min="3583" max="3583" width="10.85546875" customWidth="1"/>
    <col min="3584" max="3585" width="11" customWidth="1"/>
    <col min="3586" max="3586" width="11.85546875" customWidth="1"/>
    <col min="3587" max="3587" width="12.85546875" customWidth="1"/>
    <col min="3588" max="3588" width="5.28515625" customWidth="1"/>
    <col min="3589" max="3589" width="12.42578125" customWidth="1"/>
    <col min="3836" max="3837" width="9.140625" customWidth="1"/>
    <col min="3838" max="3838" width="44.140625" customWidth="1"/>
    <col min="3839" max="3839" width="10.85546875" customWidth="1"/>
    <col min="3840" max="3841" width="11" customWidth="1"/>
    <col min="3842" max="3842" width="11.85546875" customWidth="1"/>
    <col min="3843" max="3843" width="12.85546875" customWidth="1"/>
    <col min="3844" max="3844" width="5.28515625" customWidth="1"/>
    <col min="3845" max="3845" width="12.42578125" customWidth="1"/>
    <col min="4092" max="4093" width="9.140625" customWidth="1"/>
    <col min="4094" max="4094" width="44.140625" customWidth="1"/>
    <col min="4095" max="4095" width="10.85546875" customWidth="1"/>
    <col min="4096" max="4097" width="11" customWidth="1"/>
    <col min="4098" max="4098" width="11.85546875" customWidth="1"/>
    <col min="4099" max="4099" width="12.85546875" customWidth="1"/>
    <col min="4100" max="4100" width="5.28515625" customWidth="1"/>
    <col min="4101" max="4101" width="12.42578125" customWidth="1"/>
    <col min="4348" max="4349" width="9.140625" customWidth="1"/>
    <col min="4350" max="4350" width="44.140625" customWidth="1"/>
    <col min="4351" max="4351" width="10.85546875" customWidth="1"/>
    <col min="4352" max="4353" width="11" customWidth="1"/>
    <col min="4354" max="4354" width="11.85546875" customWidth="1"/>
    <col min="4355" max="4355" width="12.85546875" customWidth="1"/>
    <col min="4356" max="4356" width="5.28515625" customWidth="1"/>
    <col min="4357" max="4357" width="12.42578125" customWidth="1"/>
    <col min="4604" max="4605" width="9.140625" customWidth="1"/>
    <col min="4606" max="4606" width="44.140625" customWidth="1"/>
    <col min="4607" max="4607" width="10.85546875" customWidth="1"/>
    <col min="4608" max="4609" width="11" customWidth="1"/>
    <col min="4610" max="4610" width="11.85546875" customWidth="1"/>
    <col min="4611" max="4611" width="12.85546875" customWidth="1"/>
    <col min="4612" max="4612" width="5.28515625" customWidth="1"/>
    <col min="4613" max="4613" width="12.42578125" customWidth="1"/>
    <col min="4860" max="4861" width="9.140625" customWidth="1"/>
    <col min="4862" max="4862" width="44.140625" customWidth="1"/>
    <col min="4863" max="4863" width="10.85546875" customWidth="1"/>
    <col min="4864" max="4865" width="11" customWidth="1"/>
    <col min="4866" max="4866" width="11.85546875" customWidth="1"/>
    <col min="4867" max="4867" width="12.85546875" customWidth="1"/>
    <col min="4868" max="4868" width="5.28515625" customWidth="1"/>
    <col min="4869" max="4869" width="12.42578125" customWidth="1"/>
    <col min="5116" max="5117" width="9.140625" customWidth="1"/>
    <col min="5118" max="5118" width="44.140625" customWidth="1"/>
    <col min="5119" max="5119" width="10.85546875" customWidth="1"/>
    <col min="5120" max="5121" width="11" customWidth="1"/>
    <col min="5122" max="5122" width="11.85546875" customWidth="1"/>
    <col min="5123" max="5123" width="12.85546875" customWidth="1"/>
    <col min="5124" max="5124" width="5.28515625" customWidth="1"/>
    <col min="5125" max="5125" width="12.42578125" customWidth="1"/>
    <col min="5372" max="5373" width="9.140625" customWidth="1"/>
    <col min="5374" max="5374" width="44.140625" customWidth="1"/>
    <col min="5375" max="5375" width="10.85546875" customWidth="1"/>
    <col min="5376" max="5377" width="11" customWidth="1"/>
    <col min="5378" max="5378" width="11.85546875" customWidth="1"/>
    <col min="5379" max="5379" width="12.85546875" customWidth="1"/>
    <col min="5380" max="5380" width="5.28515625" customWidth="1"/>
    <col min="5381" max="5381" width="12.42578125" customWidth="1"/>
    <col min="5628" max="5629" width="9.140625" customWidth="1"/>
    <col min="5630" max="5630" width="44.140625" customWidth="1"/>
    <col min="5631" max="5631" width="10.85546875" customWidth="1"/>
    <col min="5632" max="5633" width="11" customWidth="1"/>
    <col min="5634" max="5634" width="11.85546875" customWidth="1"/>
    <col min="5635" max="5635" width="12.85546875" customWidth="1"/>
    <col min="5636" max="5636" width="5.28515625" customWidth="1"/>
    <col min="5637" max="5637" width="12.42578125" customWidth="1"/>
    <col min="5884" max="5885" width="9.140625" customWidth="1"/>
    <col min="5886" max="5886" width="44.140625" customWidth="1"/>
    <col min="5887" max="5887" width="10.85546875" customWidth="1"/>
    <col min="5888" max="5889" width="11" customWidth="1"/>
    <col min="5890" max="5890" width="11.85546875" customWidth="1"/>
    <col min="5891" max="5891" width="12.85546875" customWidth="1"/>
    <col min="5892" max="5892" width="5.28515625" customWidth="1"/>
    <col min="5893" max="5893" width="12.42578125" customWidth="1"/>
    <col min="6140" max="6141" width="9.140625" customWidth="1"/>
    <col min="6142" max="6142" width="44.140625" customWidth="1"/>
    <col min="6143" max="6143" width="10.85546875" customWidth="1"/>
    <col min="6144" max="6145" width="11" customWidth="1"/>
    <col min="6146" max="6146" width="11.85546875" customWidth="1"/>
    <col min="6147" max="6147" width="12.85546875" customWidth="1"/>
    <col min="6148" max="6148" width="5.28515625" customWidth="1"/>
    <col min="6149" max="6149" width="12.42578125" customWidth="1"/>
    <col min="6396" max="6397" width="9.140625" customWidth="1"/>
    <col min="6398" max="6398" width="44.140625" customWidth="1"/>
    <col min="6399" max="6399" width="10.85546875" customWidth="1"/>
    <col min="6400" max="6401" width="11" customWidth="1"/>
    <col min="6402" max="6402" width="11.85546875" customWidth="1"/>
    <col min="6403" max="6403" width="12.85546875" customWidth="1"/>
    <col min="6404" max="6404" width="5.28515625" customWidth="1"/>
    <col min="6405" max="6405" width="12.42578125" customWidth="1"/>
    <col min="6652" max="6653" width="9.140625" customWidth="1"/>
    <col min="6654" max="6654" width="44.140625" customWidth="1"/>
    <col min="6655" max="6655" width="10.85546875" customWidth="1"/>
    <col min="6656" max="6657" width="11" customWidth="1"/>
    <col min="6658" max="6658" width="11.85546875" customWidth="1"/>
    <col min="6659" max="6659" width="12.85546875" customWidth="1"/>
    <col min="6660" max="6660" width="5.28515625" customWidth="1"/>
    <col min="6661" max="6661" width="12.42578125" customWidth="1"/>
    <col min="6908" max="6909" width="9.140625" customWidth="1"/>
    <col min="6910" max="6910" width="44.140625" customWidth="1"/>
    <col min="6911" max="6911" width="10.85546875" customWidth="1"/>
    <col min="6912" max="6913" width="11" customWidth="1"/>
    <col min="6914" max="6914" width="11.85546875" customWidth="1"/>
    <col min="6915" max="6915" width="12.85546875" customWidth="1"/>
    <col min="6916" max="6916" width="5.28515625" customWidth="1"/>
    <col min="6917" max="6917" width="12.42578125" customWidth="1"/>
    <col min="7164" max="7165" width="9.140625" customWidth="1"/>
    <col min="7166" max="7166" width="44.140625" customWidth="1"/>
    <col min="7167" max="7167" width="10.85546875" customWidth="1"/>
    <col min="7168" max="7169" width="11" customWidth="1"/>
    <col min="7170" max="7170" width="11.85546875" customWidth="1"/>
    <col min="7171" max="7171" width="12.85546875" customWidth="1"/>
    <col min="7172" max="7172" width="5.28515625" customWidth="1"/>
    <col min="7173" max="7173" width="12.42578125" customWidth="1"/>
    <col min="7420" max="7421" width="9.140625" customWidth="1"/>
    <col min="7422" max="7422" width="44.140625" customWidth="1"/>
    <col min="7423" max="7423" width="10.85546875" customWidth="1"/>
    <col min="7424" max="7425" width="11" customWidth="1"/>
    <col min="7426" max="7426" width="11.85546875" customWidth="1"/>
    <col min="7427" max="7427" width="12.85546875" customWidth="1"/>
    <col min="7428" max="7428" width="5.28515625" customWidth="1"/>
    <col min="7429" max="7429" width="12.42578125" customWidth="1"/>
    <col min="7676" max="7677" width="9.140625" customWidth="1"/>
    <col min="7678" max="7678" width="44.140625" customWidth="1"/>
    <col min="7679" max="7679" width="10.85546875" customWidth="1"/>
    <col min="7680" max="7681" width="11" customWidth="1"/>
    <col min="7682" max="7682" width="11.85546875" customWidth="1"/>
    <col min="7683" max="7683" width="12.85546875" customWidth="1"/>
    <col min="7684" max="7684" width="5.28515625" customWidth="1"/>
    <col min="7685" max="7685" width="12.42578125" customWidth="1"/>
    <col min="7932" max="7933" width="9.140625" customWidth="1"/>
    <col min="7934" max="7934" width="44.140625" customWidth="1"/>
    <col min="7935" max="7935" width="10.85546875" customWidth="1"/>
    <col min="7936" max="7937" width="11" customWidth="1"/>
    <col min="7938" max="7938" width="11.85546875" customWidth="1"/>
    <col min="7939" max="7939" width="12.85546875" customWidth="1"/>
    <col min="7940" max="7940" width="5.28515625" customWidth="1"/>
    <col min="7941" max="7941" width="12.42578125" customWidth="1"/>
    <col min="8188" max="8189" width="9.140625" customWidth="1"/>
    <col min="8190" max="8190" width="44.140625" customWidth="1"/>
    <col min="8191" max="8191" width="10.85546875" customWidth="1"/>
    <col min="8192" max="8193" width="11" customWidth="1"/>
    <col min="8194" max="8194" width="11.85546875" customWidth="1"/>
    <col min="8195" max="8195" width="12.85546875" customWidth="1"/>
    <col min="8196" max="8196" width="5.28515625" customWidth="1"/>
    <col min="8197" max="8197" width="12.42578125" customWidth="1"/>
    <col min="8444" max="8445" width="9.140625" customWidth="1"/>
    <col min="8446" max="8446" width="44.140625" customWidth="1"/>
    <col min="8447" max="8447" width="10.85546875" customWidth="1"/>
    <col min="8448" max="8449" width="11" customWidth="1"/>
    <col min="8450" max="8450" width="11.85546875" customWidth="1"/>
    <col min="8451" max="8451" width="12.85546875" customWidth="1"/>
    <col min="8452" max="8452" width="5.28515625" customWidth="1"/>
    <col min="8453" max="8453" width="12.42578125" customWidth="1"/>
    <col min="8700" max="8701" width="9.140625" customWidth="1"/>
    <col min="8702" max="8702" width="44.140625" customWidth="1"/>
    <col min="8703" max="8703" width="10.85546875" customWidth="1"/>
    <col min="8704" max="8705" width="11" customWidth="1"/>
    <col min="8706" max="8706" width="11.85546875" customWidth="1"/>
    <col min="8707" max="8707" width="12.85546875" customWidth="1"/>
    <col min="8708" max="8708" width="5.28515625" customWidth="1"/>
    <col min="8709" max="8709" width="12.42578125" customWidth="1"/>
    <col min="8956" max="8957" width="9.140625" customWidth="1"/>
    <col min="8958" max="8958" width="44.140625" customWidth="1"/>
    <col min="8959" max="8959" width="10.85546875" customWidth="1"/>
    <col min="8960" max="8961" width="11" customWidth="1"/>
    <col min="8962" max="8962" width="11.85546875" customWidth="1"/>
    <col min="8963" max="8963" width="12.85546875" customWidth="1"/>
    <col min="8964" max="8964" width="5.28515625" customWidth="1"/>
    <col min="8965" max="8965" width="12.42578125" customWidth="1"/>
    <col min="9212" max="9213" width="9.140625" customWidth="1"/>
    <col min="9214" max="9214" width="44.140625" customWidth="1"/>
    <col min="9215" max="9215" width="10.85546875" customWidth="1"/>
    <col min="9216" max="9217" width="11" customWidth="1"/>
    <col min="9218" max="9218" width="11.85546875" customWidth="1"/>
    <col min="9219" max="9219" width="12.85546875" customWidth="1"/>
    <col min="9220" max="9220" width="5.28515625" customWidth="1"/>
    <col min="9221" max="9221" width="12.42578125" customWidth="1"/>
    <col min="9468" max="9469" width="9.140625" customWidth="1"/>
    <col min="9470" max="9470" width="44.140625" customWidth="1"/>
    <col min="9471" max="9471" width="10.85546875" customWidth="1"/>
    <col min="9472" max="9473" width="11" customWidth="1"/>
    <col min="9474" max="9474" width="11.85546875" customWidth="1"/>
    <col min="9475" max="9475" width="12.85546875" customWidth="1"/>
    <col min="9476" max="9476" width="5.28515625" customWidth="1"/>
    <col min="9477" max="9477" width="12.42578125" customWidth="1"/>
    <col min="9724" max="9725" width="9.140625" customWidth="1"/>
    <col min="9726" max="9726" width="44.140625" customWidth="1"/>
    <col min="9727" max="9727" width="10.85546875" customWidth="1"/>
    <col min="9728" max="9729" width="11" customWidth="1"/>
    <col min="9730" max="9730" width="11.85546875" customWidth="1"/>
    <col min="9731" max="9731" width="12.85546875" customWidth="1"/>
    <col min="9732" max="9732" width="5.28515625" customWidth="1"/>
    <col min="9733" max="9733" width="12.42578125" customWidth="1"/>
    <col min="9980" max="9981" width="9.140625" customWidth="1"/>
    <col min="9982" max="9982" width="44.140625" customWidth="1"/>
    <col min="9983" max="9983" width="10.85546875" customWidth="1"/>
    <col min="9984" max="9985" width="11" customWidth="1"/>
    <col min="9986" max="9986" width="11.85546875" customWidth="1"/>
    <col min="9987" max="9987" width="12.85546875" customWidth="1"/>
    <col min="9988" max="9988" width="5.28515625" customWidth="1"/>
    <col min="9989" max="9989" width="12.42578125" customWidth="1"/>
    <col min="10236" max="10237" width="9.140625" customWidth="1"/>
    <col min="10238" max="10238" width="44.140625" customWidth="1"/>
    <col min="10239" max="10239" width="10.85546875" customWidth="1"/>
    <col min="10240" max="10241" width="11" customWidth="1"/>
    <col min="10242" max="10242" width="11.85546875" customWidth="1"/>
    <col min="10243" max="10243" width="12.85546875" customWidth="1"/>
    <col min="10244" max="10244" width="5.28515625" customWidth="1"/>
    <col min="10245" max="10245" width="12.42578125" customWidth="1"/>
    <col min="10492" max="10493" width="9.140625" customWidth="1"/>
    <col min="10494" max="10494" width="44.140625" customWidth="1"/>
    <col min="10495" max="10495" width="10.85546875" customWidth="1"/>
    <col min="10496" max="10497" width="11" customWidth="1"/>
    <col min="10498" max="10498" width="11.85546875" customWidth="1"/>
    <col min="10499" max="10499" width="12.85546875" customWidth="1"/>
    <col min="10500" max="10500" width="5.28515625" customWidth="1"/>
    <col min="10501" max="10501" width="12.42578125" customWidth="1"/>
    <col min="10748" max="10749" width="9.140625" customWidth="1"/>
    <col min="10750" max="10750" width="44.140625" customWidth="1"/>
    <col min="10751" max="10751" width="10.85546875" customWidth="1"/>
    <col min="10752" max="10753" width="11" customWidth="1"/>
    <col min="10754" max="10754" width="11.85546875" customWidth="1"/>
    <col min="10755" max="10755" width="12.85546875" customWidth="1"/>
    <col min="10756" max="10756" width="5.28515625" customWidth="1"/>
    <col min="10757" max="10757" width="12.42578125" customWidth="1"/>
    <col min="11004" max="11005" width="9.140625" customWidth="1"/>
    <col min="11006" max="11006" width="44.140625" customWidth="1"/>
    <col min="11007" max="11007" width="10.85546875" customWidth="1"/>
    <col min="11008" max="11009" width="11" customWidth="1"/>
    <col min="11010" max="11010" width="11.85546875" customWidth="1"/>
    <col min="11011" max="11011" width="12.85546875" customWidth="1"/>
    <col min="11012" max="11012" width="5.28515625" customWidth="1"/>
    <col min="11013" max="11013" width="12.42578125" customWidth="1"/>
    <col min="11260" max="11261" width="9.140625" customWidth="1"/>
    <col min="11262" max="11262" width="44.140625" customWidth="1"/>
    <col min="11263" max="11263" width="10.85546875" customWidth="1"/>
    <col min="11264" max="11265" width="11" customWidth="1"/>
    <col min="11266" max="11266" width="11.85546875" customWidth="1"/>
    <col min="11267" max="11267" width="12.85546875" customWidth="1"/>
    <col min="11268" max="11268" width="5.28515625" customWidth="1"/>
    <col min="11269" max="11269" width="12.42578125" customWidth="1"/>
    <col min="11516" max="11517" width="9.140625" customWidth="1"/>
    <col min="11518" max="11518" width="44.140625" customWidth="1"/>
    <col min="11519" max="11519" width="10.85546875" customWidth="1"/>
    <col min="11520" max="11521" width="11" customWidth="1"/>
    <col min="11522" max="11522" width="11.85546875" customWidth="1"/>
    <col min="11523" max="11523" width="12.85546875" customWidth="1"/>
    <col min="11524" max="11524" width="5.28515625" customWidth="1"/>
    <col min="11525" max="11525" width="12.42578125" customWidth="1"/>
    <col min="11772" max="11773" width="9.140625" customWidth="1"/>
    <col min="11774" max="11774" width="44.140625" customWidth="1"/>
    <col min="11775" max="11775" width="10.85546875" customWidth="1"/>
    <col min="11776" max="11777" width="11" customWidth="1"/>
    <col min="11778" max="11778" width="11.85546875" customWidth="1"/>
    <col min="11779" max="11779" width="12.85546875" customWidth="1"/>
    <col min="11780" max="11780" width="5.28515625" customWidth="1"/>
    <col min="11781" max="11781" width="12.42578125" customWidth="1"/>
    <col min="12028" max="12029" width="9.140625" customWidth="1"/>
    <col min="12030" max="12030" width="44.140625" customWidth="1"/>
    <col min="12031" max="12031" width="10.85546875" customWidth="1"/>
    <col min="12032" max="12033" width="11" customWidth="1"/>
    <col min="12034" max="12034" width="11.85546875" customWidth="1"/>
    <col min="12035" max="12035" width="12.85546875" customWidth="1"/>
    <col min="12036" max="12036" width="5.28515625" customWidth="1"/>
    <col min="12037" max="12037" width="12.42578125" customWidth="1"/>
    <col min="12284" max="12285" width="9.140625" customWidth="1"/>
    <col min="12286" max="12286" width="44.140625" customWidth="1"/>
    <col min="12287" max="12287" width="10.85546875" customWidth="1"/>
    <col min="12288" max="12289" width="11" customWidth="1"/>
    <col min="12290" max="12290" width="11.85546875" customWidth="1"/>
    <col min="12291" max="12291" width="12.85546875" customWidth="1"/>
    <col min="12292" max="12292" width="5.28515625" customWidth="1"/>
    <col min="12293" max="12293" width="12.42578125" customWidth="1"/>
    <col min="12540" max="12541" width="9.140625" customWidth="1"/>
    <col min="12542" max="12542" width="44.140625" customWidth="1"/>
    <col min="12543" max="12543" width="10.85546875" customWidth="1"/>
    <col min="12544" max="12545" width="11" customWidth="1"/>
    <col min="12546" max="12546" width="11.85546875" customWidth="1"/>
    <col min="12547" max="12547" width="12.85546875" customWidth="1"/>
    <col min="12548" max="12548" width="5.28515625" customWidth="1"/>
    <col min="12549" max="12549" width="12.42578125" customWidth="1"/>
    <col min="12796" max="12797" width="9.140625" customWidth="1"/>
    <col min="12798" max="12798" width="44.140625" customWidth="1"/>
    <col min="12799" max="12799" width="10.85546875" customWidth="1"/>
    <col min="12800" max="12801" width="11" customWidth="1"/>
    <col min="12802" max="12802" width="11.85546875" customWidth="1"/>
    <col min="12803" max="12803" width="12.85546875" customWidth="1"/>
    <col min="12804" max="12804" width="5.28515625" customWidth="1"/>
    <col min="12805" max="12805" width="12.42578125" customWidth="1"/>
    <col min="13052" max="13053" width="9.140625" customWidth="1"/>
    <col min="13054" max="13054" width="44.140625" customWidth="1"/>
    <col min="13055" max="13055" width="10.85546875" customWidth="1"/>
    <col min="13056" max="13057" width="11" customWidth="1"/>
    <col min="13058" max="13058" width="11.85546875" customWidth="1"/>
    <col min="13059" max="13059" width="12.85546875" customWidth="1"/>
    <col min="13060" max="13060" width="5.28515625" customWidth="1"/>
    <col min="13061" max="13061" width="12.42578125" customWidth="1"/>
    <col min="13308" max="13309" width="9.140625" customWidth="1"/>
    <col min="13310" max="13310" width="44.140625" customWidth="1"/>
    <col min="13311" max="13311" width="10.85546875" customWidth="1"/>
    <col min="13312" max="13313" width="11" customWidth="1"/>
    <col min="13314" max="13314" width="11.85546875" customWidth="1"/>
    <col min="13315" max="13315" width="12.85546875" customWidth="1"/>
    <col min="13316" max="13316" width="5.28515625" customWidth="1"/>
    <col min="13317" max="13317" width="12.42578125" customWidth="1"/>
    <col min="13564" max="13565" width="9.140625" customWidth="1"/>
    <col min="13566" max="13566" width="44.140625" customWidth="1"/>
    <col min="13567" max="13567" width="10.85546875" customWidth="1"/>
    <col min="13568" max="13569" width="11" customWidth="1"/>
    <col min="13570" max="13570" width="11.85546875" customWidth="1"/>
    <col min="13571" max="13571" width="12.85546875" customWidth="1"/>
    <col min="13572" max="13572" width="5.28515625" customWidth="1"/>
    <col min="13573" max="13573" width="12.42578125" customWidth="1"/>
    <col min="13820" max="13821" width="9.140625" customWidth="1"/>
    <col min="13822" max="13822" width="44.140625" customWidth="1"/>
    <col min="13823" max="13823" width="10.85546875" customWidth="1"/>
    <col min="13824" max="13825" width="11" customWidth="1"/>
    <col min="13826" max="13826" width="11.85546875" customWidth="1"/>
    <col min="13827" max="13827" width="12.85546875" customWidth="1"/>
    <col min="13828" max="13828" width="5.28515625" customWidth="1"/>
    <col min="13829" max="13829" width="12.42578125" customWidth="1"/>
    <col min="14076" max="14077" width="9.140625" customWidth="1"/>
    <col min="14078" max="14078" width="44.140625" customWidth="1"/>
    <col min="14079" max="14079" width="10.85546875" customWidth="1"/>
    <col min="14080" max="14081" width="11" customWidth="1"/>
    <col min="14082" max="14082" width="11.85546875" customWidth="1"/>
    <col min="14083" max="14083" width="12.85546875" customWidth="1"/>
    <col min="14084" max="14084" width="5.28515625" customWidth="1"/>
    <col min="14085" max="14085" width="12.42578125" customWidth="1"/>
    <col min="14332" max="14333" width="9.140625" customWidth="1"/>
    <col min="14334" max="14334" width="44.140625" customWidth="1"/>
    <col min="14335" max="14335" width="10.85546875" customWidth="1"/>
    <col min="14336" max="14337" width="11" customWidth="1"/>
    <col min="14338" max="14338" width="11.85546875" customWidth="1"/>
    <col min="14339" max="14339" width="12.85546875" customWidth="1"/>
    <col min="14340" max="14340" width="5.28515625" customWidth="1"/>
    <col min="14341" max="14341" width="12.42578125" customWidth="1"/>
    <col min="14588" max="14589" width="9.140625" customWidth="1"/>
    <col min="14590" max="14590" width="44.140625" customWidth="1"/>
    <col min="14591" max="14591" width="10.85546875" customWidth="1"/>
    <col min="14592" max="14593" width="11" customWidth="1"/>
    <col min="14594" max="14594" width="11.85546875" customWidth="1"/>
    <col min="14595" max="14595" width="12.85546875" customWidth="1"/>
    <col min="14596" max="14596" width="5.28515625" customWidth="1"/>
    <col min="14597" max="14597" width="12.42578125" customWidth="1"/>
    <col min="14844" max="14845" width="9.140625" customWidth="1"/>
    <col min="14846" max="14846" width="44.140625" customWidth="1"/>
    <col min="14847" max="14847" width="10.85546875" customWidth="1"/>
    <col min="14848" max="14849" width="11" customWidth="1"/>
    <col min="14850" max="14850" width="11.85546875" customWidth="1"/>
    <col min="14851" max="14851" width="12.85546875" customWidth="1"/>
    <col min="14852" max="14852" width="5.28515625" customWidth="1"/>
    <col min="14853" max="14853" width="12.42578125" customWidth="1"/>
    <col min="15100" max="15101" width="9.140625" customWidth="1"/>
    <col min="15102" max="15102" width="44.140625" customWidth="1"/>
    <col min="15103" max="15103" width="10.85546875" customWidth="1"/>
    <col min="15104" max="15105" width="11" customWidth="1"/>
    <col min="15106" max="15106" width="11.85546875" customWidth="1"/>
    <col min="15107" max="15107" width="12.85546875" customWidth="1"/>
    <col min="15108" max="15108" width="5.28515625" customWidth="1"/>
    <col min="15109" max="15109" width="12.42578125" customWidth="1"/>
    <col min="15356" max="15357" width="9.140625" customWidth="1"/>
    <col min="15358" max="15358" width="44.140625" customWidth="1"/>
    <col min="15359" max="15359" width="10.85546875" customWidth="1"/>
    <col min="15360" max="15361" width="11" customWidth="1"/>
    <col min="15362" max="15362" width="11.85546875" customWidth="1"/>
    <col min="15363" max="15363" width="12.85546875" customWidth="1"/>
    <col min="15364" max="15364" width="5.28515625" customWidth="1"/>
    <col min="15365" max="15365" width="12.42578125" customWidth="1"/>
    <col min="15612" max="15613" width="9.140625" customWidth="1"/>
    <col min="15614" max="15614" width="44.140625" customWidth="1"/>
    <col min="15615" max="15615" width="10.85546875" customWidth="1"/>
    <col min="15616" max="15617" width="11" customWidth="1"/>
    <col min="15618" max="15618" width="11.85546875" customWidth="1"/>
    <col min="15619" max="15619" width="12.85546875" customWidth="1"/>
    <col min="15620" max="15620" width="5.28515625" customWidth="1"/>
    <col min="15621" max="15621" width="12.42578125" customWidth="1"/>
    <col min="15868" max="15869" width="9.140625" customWidth="1"/>
    <col min="15870" max="15870" width="44.140625" customWidth="1"/>
    <col min="15871" max="15871" width="10.85546875" customWidth="1"/>
    <col min="15872" max="15873" width="11" customWidth="1"/>
    <col min="15874" max="15874" width="11.85546875" customWidth="1"/>
    <col min="15875" max="15875" width="12.85546875" customWidth="1"/>
    <col min="15876" max="15876" width="5.28515625" customWidth="1"/>
    <col min="15877" max="15877" width="12.42578125" customWidth="1"/>
    <col min="16124" max="16125" width="9.140625" customWidth="1"/>
    <col min="16126" max="16126" width="44.140625" customWidth="1"/>
    <col min="16127" max="16127" width="10.85546875" customWidth="1"/>
    <col min="16128" max="16129" width="11" customWidth="1"/>
    <col min="16130" max="16130" width="11.85546875" customWidth="1"/>
    <col min="16131" max="16131" width="12.85546875" customWidth="1"/>
    <col min="16132" max="16132" width="5.28515625" customWidth="1"/>
    <col min="16133" max="16133" width="12.42578125" customWidth="1"/>
  </cols>
  <sheetData>
    <row r="1" spans="2:10" ht="18.75">
      <c r="B1" s="194" t="s">
        <v>155</v>
      </c>
      <c r="C1" s="194"/>
      <c r="D1" s="194"/>
      <c r="E1" s="194"/>
      <c r="F1" s="194"/>
      <c r="G1" s="194"/>
      <c r="H1" s="194"/>
      <c r="I1" s="194"/>
    </row>
    <row r="2" spans="2:10" ht="18.75" customHeight="1">
      <c r="B2" s="195" t="s">
        <v>154</v>
      </c>
      <c r="C2" s="195"/>
      <c r="D2" s="195"/>
      <c r="E2" s="195"/>
      <c r="F2" s="195"/>
      <c r="G2" s="195"/>
      <c r="H2" s="195"/>
      <c r="I2" s="195"/>
    </row>
    <row r="3" spans="2:10" ht="18">
      <c r="B3" s="196" t="s">
        <v>153</v>
      </c>
      <c r="C3" s="196"/>
      <c r="D3" s="196"/>
      <c r="E3" s="196"/>
      <c r="F3" s="196"/>
      <c r="G3" s="196"/>
      <c r="H3" s="196"/>
      <c r="I3" s="196"/>
    </row>
    <row r="4" spans="2:10" ht="18">
      <c r="B4" s="195" t="s">
        <v>152</v>
      </c>
      <c r="C4" s="195"/>
      <c r="D4" s="195"/>
      <c r="E4" s="195"/>
      <c r="F4" s="195"/>
      <c r="G4" s="195"/>
      <c r="H4" s="195"/>
      <c r="I4" s="195"/>
    </row>
    <row r="5" spans="2:10" ht="6" customHeight="1">
      <c r="B5" s="197"/>
      <c r="C5" s="197"/>
      <c r="D5" s="197"/>
      <c r="E5" s="197"/>
      <c r="F5" s="197"/>
      <c r="G5" s="197"/>
      <c r="H5" s="197"/>
      <c r="I5" s="197"/>
    </row>
    <row r="6" spans="2:10" ht="17.25" customHeight="1">
      <c r="B6" s="182"/>
      <c r="C6" s="185"/>
      <c r="D6" s="183"/>
      <c r="E6" s="184"/>
      <c r="F6" s="182"/>
      <c r="G6" s="183"/>
      <c r="H6" s="183"/>
      <c r="I6" s="182"/>
    </row>
    <row r="7" spans="2:10" ht="19.5">
      <c r="B7" s="181"/>
      <c r="C7" s="179"/>
      <c r="D7" s="178"/>
      <c r="E7" s="44" t="s">
        <v>36</v>
      </c>
      <c r="F7" s="43" t="s">
        <v>35</v>
      </c>
      <c r="G7" s="42" t="s">
        <v>34</v>
      </c>
      <c r="H7" s="41" t="s">
        <v>33</v>
      </c>
      <c r="I7" s="180" t="s">
        <v>32</v>
      </c>
    </row>
    <row r="8" spans="2:10" ht="19.5">
      <c r="B8" s="175" t="s">
        <v>151</v>
      </c>
      <c r="C8" s="179"/>
      <c r="D8" s="178"/>
      <c r="E8" s="177">
        <f>'[1] BAM-TENTATIVE-FY25-COLA 1.07%'!F30</f>
        <v>77966389</v>
      </c>
      <c r="F8" s="177">
        <f>'[1] BAM-TENTATIVE-FY25-COLA 1.07%'!G30</f>
        <v>111510284</v>
      </c>
      <c r="G8" s="177">
        <f>'[1] BAM-TENTATIVE-FY25-COLA 1.07%'!H30</f>
        <v>71912349</v>
      </c>
      <c r="H8" s="177">
        <f>'[1] BAM-TENTATIVE-FY25-COLA 1.07%'!I30</f>
        <v>63710757</v>
      </c>
      <c r="I8" s="176">
        <f>SUM(E8:H8)</f>
        <v>325099779</v>
      </c>
    </row>
    <row r="9" spans="2:10" ht="15.75">
      <c r="B9" s="175" t="s">
        <v>150</v>
      </c>
      <c r="E9" s="174">
        <f>E198</f>
        <v>54526405</v>
      </c>
      <c r="F9" s="173">
        <f>F198</f>
        <v>76982095</v>
      </c>
      <c r="G9" s="172">
        <f>G198</f>
        <v>50604198</v>
      </c>
      <c r="H9" s="171">
        <f>H198</f>
        <v>38159496</v>
      </c>
      <c r="I9" s="170">
        <f>SUM(E9:H9)</f>
        <v>220272194</v>
      </c>
      <c r="J9" s="192">
        <f>I9/I8</f>
        <v>0.67755257994192608</v>
      </c>
    </row>
    <row r="10" spans="2:10" ht="8.25" customHeight="1">
      <c r="C10" s="25"/>
      <c r="D10" s="25"/>
      <c r="E10" s="25"/>
      <c r="F10" s="25"/>
      <c r="G10" s="25"/>
      <c r="H10" s="25"/>
      <c r="I10" s="25"/>
    </row>
    <row r="11" spans="2:10" ht="20.25" customHeight="1">
      <c r="B11" s="169" t="s">
        <v>149</v>
      </c>
      <c r="C11" s="25"/>
      <c r="D11" s="25"/>
      <c r="E11" s="25"/>
      <c r="F11" s="25"/>
      <c r="G11" s="25"/>
      <c r="H11" s="25"/>
      <c r="I11" s="25"/>
    </row>
    <row r="12" spans="2:10">
      <c r="B12" s="168" t="s">
        <v>148</v>
      </c>
      <c r="C12" s="25"/>
      <c r="D12" s="25"/>
      <c r="E12" s="25"/>
      <c r="F12" s="25"/>
      <c r="G12" s="25"/>
      <c r="H12" s="25"/>
      <c r="I12" s="25"/>
    </row>
    <row r="13" spans="2:10">
      <c r="B13" s="161" t="s">
        <v>147</v>
      </c>
      <c r="C13" s="157"/>
      <c r="D13" s="157"/>
      <c r="E13" s="160">
        <v>3975</v>
      </c>
      <c r="F13" s="160">
        <v>5715</v>
      </c>
      <c r="G13" s="160">
        <v>3176</v>
      </c>
      <c r="H13" s="159">
        <v>3845.7</v>
      </c>
      <c r="I13" s="149">
        <f>SUM(E13:H13)</f>
        <v>16711.7</v>
      </c>
    </row>
    <row r="14" spans="2:10">
      <c r="B14" s="157" t="s">
        <v>134</v>
      </c>
      <c r="C14" s="157"/>
      <c r="D14" s="157"/>
      <c r="E14" s="158">
        <v>15</v>
      </c>
      <c r="F14" s="158">
        <f>E14</f>
        <v>15</v>
      </c>
      <c r="G14" s="158">
        <f>E14</f>
        <v>15</v>
      </c>
      <c r="H14" s="158">
        <v>20</v>
      </c>
      <c r="I14" s="158">
        <f>E14</f>
        <v>15</v>
      </c>
    </row>
    <row r="15" spans="2:10">
      <c r="B15" s="157" t="s">
        <v>146</v>
      </c>
      <c r="C15" s="157"/>
      <c r="D15" s="157"/>
      <c r="E15" s="149">
        <f>ROUND(E13/E14,2)</f>
        <v>265</v>
      </c>
      <c r="F15" s="149">
        <f>ROUND(F13/F14,2)</f>
        <v>381</v>
      </c>
      <c r="G15" s="149">
        <f>ROUND(G13/G14,2)</f>
        <v>211.73</v>
      </c>
      <c r="H15" s="149">
        <f>ROUND(H13/H14,2)</f>
        <v>192.29</v>
      </c>
      <c r="I15" s="149">
        <f>ROUND(SUM(E15:H15),2)</f>
        <v>1050.02</v>
      </c>
    </row>
    <row r="16" spans="2:10">
      <c r="B16" s="157" t="s">
        <v>138</v>
      </c>
      <c r="C16" s="157"/>
      <c r="D16" s="157"/>
      <c r="E16" s="167">
        <v>117.25</v>
      </c>
      <c r="F16" s="167">
        <v>146.76</v>
      </c>
      <c r="G16" s="167">
        <v>72</v>
      </c>
      <c r="H16" s="167">
        <v>65.39</v>
      </c>
      <c r="I16" s="158">
        <f>ROUND(SUM(E16:H16),2)</f>
        <v>401.4</v>
      </c>
    </row>
    <row r="17" spans="2:9">
      <c r="B17" s="157" t="s">
        <v>137</v>
      </c>
      <c r="C17" s="157"/>
      <c r="D17" s="157"/>
      <c r="E17" s="158">
        <f>E15-E16</f>
        <v>147.75</v>
      </c>
      <c r="F17" s="158">
        <f>F15-F16</f>
        <v>234.24</v>
      </c>
      <c r="G17" s="158">
        <f>G15-G16</f>
        <v>139.72999999999999</v>
      </c>
      <c r="H17" s="158">
        <f>H15-H16</f>
        <v>126.89999999999999</v>
      </c>
      <c r="I17" s="158">
        <f>SUM(E17:H17)</f>
        <v>648.62</v>
      </c>
    </row>
    <row r="18" spans="2:9">
      <c r="B18" s="157"/>
      <c r="C18" s="157"/>
      <c r="D18" s="157"/>
      <c r="E18" s="149"/>
      <c r="F18" s="149"/>
      <c r="G18" s="149"/>
      <c r="H18" s="149"/>
      <c r="I18" s="149"/>
    </row>
    <row r="19" spans="2:9">
      <c r="B19" s="166" t="s">
        <v>145</v>
      </c>
      <c r="C19" s="157"/>
      <c r="D19" s="157"/>
      <c r="E19" s="149"/>
      <c r="F19" s="149"/>
      <c r="G19" s="149"/>
      <c r="H19" s="149"/>
      <c r="I19" s="149"/>
    </row>
    <row r="20" spans="2:9">
      <c r="B20" s="161" t="s">
        <v>144</v>
      </c>
      <c r="C20" s="157"/>
      <c r="D20" s="157"/>
      <c r="E20" s="160">
        <v>105</v>
      </c>
      <c r="F20" s="160">
        <v>300</v>
      </c>
      <c r="G20" s="160">
        <v>148</v>
      </c>
      <c r="H20" s="159">
        <v>0</v>
      </c>
      <c r="I20" s="149">
        <f>SUM(E20:H20)</f>
        <v>553</v>
      </c>
    </row>
    <row r="21" spans="2:9">
      <c r="B21" s="157" t="s">
        <v>143</v>
      </c>
      <c r="C21" s="157"/>
      <c r="D21" s="157"/>
      <c r="E21" s="158">
        <v>15</v>
      </c>
      <c r="F21" s="158">
        <f>E21</f>
        <v>15</v>
      </c>
      <c r="G21" s="158">
        <f>E21</f>
        <v>15</v>
      </c>
      <c r="H21" s="158">
        <v>20</v>
      </c>
      <c r="I21" s="158">
        <f>E21</f>
        <v>15</v>
      </c>
    </row>
    <row r="22" spans="2:9">
      <c r="B22" s="157" t="s">
        <v>142</v>
      </c>
      <c r="C22" s="157"/>
      <c r="D22" s="157"/>
      <c r="E22" s="158">
        <f>ROUND(E20/E21,2)</f>
        <v>7</v>
      </c>
      <c r="F22" s="158">
        <f>ROUND(F20/F21,2)</f>
        <v>20</v>
      </c>
      <c r="G22" s="158">
        <f>ROUND(G20/G21,2)</f>
        <v>9.8699999999999992</v>
      </c>
      <c r="H22" s="158">
        <f>ROUND(H20/H21,2)</f>
        <v>0</v>
      </c>
      <c r="I22" s="158">
        <f>ROUND(SUM(E22:H22),2)</f>
        <v>36.869999999999997</v>
      </c>
    </row>
    <row r="23" spans="2:9">
      <c r="B23" s="157"/>
      <c r="C23" s="157"/>
      <c r="D23" s="157"/>
      <c r="E23" s="149"/>
      <c r="F23" s="149"/>
      <c r="G23" s="149"/>
      <c r="H23" s="149"/>
      <c r="I23" s="149"/>
    </row>
    <row r="24" spans="2:9">
      <c r="B24" s="165" t="s">
        <v>141</v>
      </c>
      <c r="C24" s="157"/>
      <c r="D24" s="157"/>
      <c r="E24" s="149"/>
      <c r="F24" s="149"/>
      <c r="G24" s="149"/>
      <c r="H24" s="149"/>
      <c r="I24" s="149"/>
    </row>
    <row r="25" spans="2:9">
      <c r="B25" s="161" t="s">
        <v>140</v>
      </c>
      <c r="C25" s="157"/>
      <c r="D25" s="157"/>
      <c r="E25" s="164">
        <v>3540</v>
      </c>
      <c r="F25" s="160">
        <v>5595</v>
      </c>
      <c r="G25" s="160">
        <v>3320</v>
      </c>
      <c r="H25" s="159">
        <v>3809.7</v>
      </c>
      <c r="I25" s="149">
        <f>SUM(E25:H25)</f>
        <v>16264.7</v>
      </c>
    </row>
    <row r="26" spans="2:9">
      <c r="B26" s="157" t="s">
        <v>134</v>
      </c>
      <c r="C26" s="157"/>
      <c r="D26" s="157"/>
      <c r="E26" s="158">
        <v>15</v>
      </c>
      <c r="F26" s="158">
        <f>E26</f>
        <v>15</v>
      </c>
      <c r="G26" s="158">
        <f>E26</f>
        <v>15</v>
      </c>
      <c r="H26" s="158">
        <v>20</v>
      </c>
      <c r="I26" s="158">
        <f>(45+18.5)/4</f>
        <v>15.875</v>
      </c>
    </row>
    <row r="27" spans="2:9">
      <c r="B27" s="157" t="s">
        <v>139</v>
      </c>
      <c r="C27" s="157"/>
      <c r="D27" s="157"/>
      <c r="E27" s="149">
        <f>ROUND(E25/E26,2)</f>
        <v>236</v>
      </c>
      <c r="F27" s="149">
        <f>ROUND(F25/F26,2)</f>
        <v>373</v>
      </c>
      <c r="G27" s="149">
        <f>ROUND(G25/G26,2)</f>
        <v>221.33</v>
      </c>
      <c r="H27" s="149">
        <f>ROUND(H25/H26,2)</f>
        <v>190.49</v>
      </c>
      <c r="I27" s="149">
        <f>ROUND(SUM(E27:H27),2)</f>
        <v>1020.82</v>
      </c>
    </row>
    <row r="28" spans="2:9">
      <c r="B28" s="157" t="s">
        <v>138</v>
      </c>
      <c r="C28" s="157"/>
      <c r="D28" s="157"/>
      <c r="E28" s="158">
        <f>E16</f>
        <v>117.25</v>
      </c>
      <c r="F28" s="158">
        <f>F16</f>
        <v>146.76</v>
      </c>
      <c r="G28" s="158">
        <f>G16</f>
        <v>72</v>
      </c>
      <c r="H28" s="158">
        <f>H16</f>
        <v>65.39</v>
      </c>
      <c r="I28" s="158">
        <f>ROUND(SUM(E28:H28),2)</f>
        <v>401.4</v>
      </c>
    </row>
    <row r="29" spans="2:9">
      <c r="B29" s="157" t="s">
        <v>137</v>
      </c>
      <c r="C29" s="157"/>
      <c r="D29" s="157"/>
      <c r="E29" s="158">
        <f>E27-E28</f>
        <v>118.75</v>
      </c>
      <c r="F29" s="158">
        <f>F27-F28</f>
        <v>226.24</v>
      </c>
      <c r="G29" s="158">
        <f>G27-G28</f>
        <v>149.33000000000001</v>
      </c>
      <c r="H29" s="158">
        <f>H27-H28</f>
        <v>125.10000000000001</v>
      </c>
      <c r="I29" s="158">
        <f>SUM(E29:H29)</f>
        <v>619.42000000000007</v>
      </c>
    </row>
    <row r="30" spans="2:9">
      <c r="B30" s="157"/>
      <c r="C30" s="157"/>
      <c r="D30" s="157"/>
      <c r="E30" s="149"/>
      <c r="F30" s="149"/>
      <c r="G30" s="149"/>
      <c r="H30" s="149"/>
      <c r="I30" s="149"/>
    </row>
    <row r="31" spans="2:9">
      <c r="B31" s="163" t="s">
        <v>136</v>
      </c>
      <c r="C31" s="157"/>
      <c r="D31" s="157"/>
      <c r="E31" s="162"/>
      <c r="F31" s="162"/>
      <c r="G31" s="162"/>
      <c r="H31" s="162"/>
      <c r="I31" s="162"/>
    </row>
    <row r="32" spans="2:9">
      <c r="B32" s="161" t="s">
        <v>135</v>
      </c>
      <c r="C32" s="157"/>
      <c r="D32" s="157"/>
      <c r="E32" s="160">
        <v>825</v>
      </c>
      <c r="F32" s="160">
        <v>1170</v>
      </c>
      <c r="G32" s="160">
        <v>679</v>
      </c>
      <c r="H32" s="159">
        <v>1560.6</v>
      </c>
      <c r="I32" s="149">
        <f>SUM(E32:H32)</f>
        <v>4234.6000000000004</v>
      </c>
    </row>
    <row r="33" spans="2:9">
      <c r="B33" s="157" t="s">
        <v>134</v>
      </c>
      <c r="C33" s="157"/>
      <c r="D33" s="157"/>
      <c r="E33" s="158">
        <v>15</v>
      </c>
      <c r="F33" s="158">
        <f>E33</f>
        <v>15</v>
      </c>
      <c r="G33" s="158">
        <f>E33</f>
        <v>15</v>
      </c>
      <c r="H33" s="158">
        <v>20</v>
      </c>
      <c r="I33" s="158">
        <f>SUM(E33:H33)</f>
        <v>65</v>
      </c>
    </row>
    <row r="34" spans="2:9">
      <c r="B34" s="157" t="s">
        <v>133</v>
      </c>
      <c r="C34" s="157"/>
      <c r="D34" s="157"/>
      <c r="E34" s="149">
        <f>ROUND(E32/E33,2)</f>
        <v>55</v>
      </c>
      <c r="F34" s="149">
        <f>ROUND(F32/F33,2)</f>
        <v>78</v>
      </c>
      <c r="G34" s="149">
        <f>ROUND(G32/G33,2)</f>
        <v>45.27</v>
      </c>
      <c r="H34" s="149">
        <f>ROUND(H32/H33,2)</f>
        <v>78.03</v>
      </c>
      <c r="I34" s="149">
        <f>ROUND(SUM(E34:H34),2)</f>
        <v>256.3</v>
      </c>
    </row>
    <row r="35" spans="2:9">
      <c r="B35" s="157"/>
      <c r="C35" s="157"/>
      <c r="D35" s="157"/>
      <c r="E35" s="149"/>
      <c r="F35" s="149"/>
      <c r="G35" s="149"/>
      <c r="H35" s="149"/>
      <c r="I35" s="149"/>
    </row>
    <row r="36" spans="2:9">
      <c r="B36" s="114" t="s">
        <v>132</v>
      </c>
      <c r="C36" s="152"/>
      <c r="D36" s="25"/>
      <c r="E36" s="151">
        <f>SUM(E13,E20,E25,E32)</f>
        <v>8445</v>
      </c>
      <c r="F36" s="151">
        <f>SUM(F13,F20,F25,F32)</f>
        <v>12780</v>
      </c>
      <c r="G36" s="151">
        <f>SUM(G13,G20,G25,G32)</f>
        <v>7323</v>
      </c>
      <c r="H36" s="151">
        <f>SUM(H13,H20,H25,H32)</f>
        <v>9216</v>
      </c>
      <c r="I36" s="156">
        <f>E36+F36+G36+H36</f>
        <v>37764</v>
      </c>
    </row>
    <row r="37" spans="2:9">
      <c r="B37" s="114"/>
      <c r="C37" s="152"/>
      <c r="D37" s="25"/>
      <c r="E37" s="151"/>
      <c r="F37" s="151"/>
      <c r="G37" s="151"/>
      <c r="H37" s="151"/>
      <c r="I37" s="149"/>
    </row>
    <row r="38" spans="2:9">
      <c r="B38" s="153" t="s">
        <v>131</v>
      </c>
      <c r="C38" s="152"/>
      <c r="D38" s="25"/>
      <c r="E38" s="151">
        <f>SUM(E16,E28)</f>
        <v>234.5</v>
      </c>
      <c r="F38" s="151">
        <f>SUM(F16,F28)</f>
        <v>293.52</v>
      </c>
      <c r="G38" s="151">
        <f>SUM(G16,G28)</f>
        <v>144</v>
      </c>
      <c r="H38" s="151">
        <f>SUM(H16,H28)</f>
        <v>130.78</v>
      </c>
      <c r="I38" s="156">
        <f>ROUND(SUM(E38:H38),2)</f>
        <v>802.8</v>
      </c>
    </row>
    <row r="39" spans="2:9">
      <c r="B39" s="153" t="s">
        <v>130</v>
      </c>
      <c r="C39" s="152"/>
      <c r="D39" s="25"/>
      <c r="E39" s="155">
        <f>SUM(E17,E22,E29,E34)</f>
        <v>328.5</v>
      </c>
      <c r="F39" s="155">
        <f>SUM(F17,F22,F29,F34)</f>
        <v>558.48</v>
      </c>
      <c r="G39" s="155">
        <f>SUM(G17,G22,G29,G34)</f>
        <v>344.2</v>
      </c>
      <c r="H39" s="155">
        <f>SUM(H17,H22,H29,H34)</f>
        <v>330.03</v>
      </c>
      <c r="I39" s="154">
        <f>ROUND(SUM(E39:H39),2)</f>
        <v>1561.21</v>
      </c>
    </row>
    <row r="40" spans="2:9">
      <c r="B40" s="153" t="s">
        <v>129</v>
      </c>
      <c r="C40" s="152"/>
      <c r="D40" s="25"/>
      <c r="E40" s="151">
        <f>SUM(E38:E39)</f>
        <v>563</v>
      </c>
      <c r="F40" s="151">
        <f>SUM(F38:F39)</f>
        <v>852</v>
      </c>
      <c r="G40" s="151">
        <f>SUM(G38:G39)</f>
        <v>488.2</v>
      </c>
      <c r="H40" s="150">
        <f>SUM(H38:H39)-0.01</f>
        <v>460.79999999999995</v>
      </c>
      <c r="I40" s="149">
        <f>ROUND(SUM(E40:H40),2)-0.2</f>
        <v>2363.8000000000002</v>
      </c>
    </row>
    <row r="41" spans="2:9">
      <c r="B41" s="148"/>
      <c r="C41" s="147"/>
      <c r="D41" s="147"/>
      <c r="E41" s="147"/>
      <c r="F41" s="147"/>
      <c r="G41" s="147"/>
      <c r="H41" s="147"/>
      <c r="I41" s="147"/>
    </row>
    <row r="42" spans="2:9">
      <c r="B42" s="112" t="s">
        <v>128</v>
      </c>
      <c r="C42" s="58"/>
      <c r="D42" s="28"/>
      <c r="E42" s="16">
        <v>12924763</v>
      </c>
      <c r="F42" s="16">
        <v>16469408</v>
      </c>
      <c r="G42" s="16">
        <v>7922952</v>
      </c>
      <c r="H42" s="146">
        <v>6861971</v>
      </c>
      <c r="I42" s="146">
        <f>ROUND(SUM(E42:H42),0)</f>
        <v>44179094</v>
      </c>
    </row>
    <row r="43" spans="2:9">
      <c r="B43" s="112" t="s">
        <v>127</v>
      </c>
      <c r="C43" s="58"/>
      <c r="D43" s="28"/>
      <c r="E43" s="139">
        <v>5533195</v>
      </c>
      <c r="F43" s="139">
        <v>6970534</v>
      </c>
      <c r="G43" s="139">
        <v>3390295</v>
      </c>
      <c r="H43" s="138">
        <v>2994866</v>
      </c>
      <c r="I43" s="138">
        <f>ROUND(SUM(E43:H43),0)</f>
        <v>18888890</v>
      </c>
    </row>
    <row r="44" spans="2:9">
      <c r="B44" s="58"/>
      <c r="C44" s="58"/>
      <c r="D44" s="135" t="s">
        <v>126</v>
      </c>
      <c r="E44" s="145">
        <f>SUM(E42:E43)</f>
        <v>18457958</v>
      </c>
      <c r="F44" s="145">
        <f>SUM(F42:F43)</f>
        <v>23439942</v>
      </c>
      <c r="G44" s="145">
        <f>SUM(G42:G43)</f>
        <v>11313247</v>
      </c>
      <c r="H44" s="145">
        <f>SUM(H42:H43)</f>
        <v>9856837</v>
      </c>
      <c r="I44" s="145">
        <f>SUM(I42:I43)</f>
        <v>63067984</v>
      </c>
    </row>
    <row r="45" spans="2:9">
      <c r="B45" s="144"/>
      <c r="C45" s="144"/>
      <c r="D45" s="143"/>
      <c r="E45" s="142"/>
      <c r="F45" s="142"/>
      <c r="G45" s="142"/>
      <c r="H45" s="142"/>
      <c r="I45" s="142"/>
    </row>
    <row r="46" spans="2:9">
      <c r="B46" s="112" t="s">
        <v>125</v>
      </c>
      <c r="C46" s="58"/>
      <c r="D46" s="28"/>
      <c r="E46" s="141">
        <f>ROUND('[1]Adjunct rate Calulation-UPDATED'!E8,0)</f>
        <v>21000</v>
      </c>
      <c r="F46" s="16">
        <f>E46</f>
        <v>21000</v>
      </c>
      <c r="G46" s="16">
        <f>E46</f>
        <v>21000</v>
      </c>
      <c r="H46" s="16">
        <f>E46</f>
        <v>21000</v>
      </c>
      <c r="I46" s="138"/>
    </row>
    <row r="47" spans="2:9">
      <c r="B47" s="112" t="s">
        <v>124</v>
      </c>
      <c r="C47" s="58"/>
      <c r="D47" s="28"/>
      <c r="E47" s="140">
        <f>ROUND('[1]Adjunct rate Calulation-UPDATED'!E9,0)</f>
        <v>4783</v>
      </c>
      <c r="F47" s="139">
        <f>E47</f>
        <v>4783</v>
      </c>
      <c r="G47" s="139">
        <f>E47</f>
        <v>4783</v>
      </c>
      <c r="H47" s="139">
        <f>E47</f>
        <v>4783</v>
      </c>
      <c r="I47" s="138"/>
    </row>
    <row r="48" spans="2:9">
      <c r="B48" s="198" t="s">
        <v>123</v>
      </c>
      <c r="C48" s="198"/>
      <c r="D48" s="198"/>
      <c r="E48" s="16">
        <f>SUM(E46:E47)</f>
        <v>25783</v>
      </c>
      <c r="F48" s="16">
        <f>SUM(F46:F47)</f>
        <v>25783</v>
      </c>
      <c r="G48" s="16">
        <f>SUM(G46:G47)</f>
        <v>25783</v>
      </c>
      <c r="H48" s="16">
        <f>SUM(H46:H47)</f>
        <v>25783</v>
      </c>
      <c r="I48" s="138"/>
    </row>
    <row r="49" spans="2:9">
      <c r="B49" s="135"/>
      <c r="C49" s="135"/>
      <c r="D49" s="135"/>
      <c r="E49" s="28"/>
      <c r="F49" s="28"/>
      <c r="G49" s="28"/>
      <c r="H49" s="28"/>
      <c r="I49" s="137"/>
    </row>
    <row r="50" spans="2:9">
      <c r="B50" s="112" t="s">
        <v>122</v>
      </c>
      <c r="C50" s="58"/>
      <c r="D50" s="28"/>
      <c r="E50" s="15">
        <f>E48*E17</f>
        <v>3809438.25</v>
      </c>
      <c r="F50" s="15">
        <f>F48*F17</f>
        <v>6039409.9199999999</v>
      </c>
      <c r="G50" s="15">
        <f>G48*G17</f>
        <v>3602658.59</v>
      </c>
      <c r="H50" s="15">
        <f>H48*H17</f>
        <v>3271862.6999999997</v>
      </c>
      <c r="I50" s="15">
        <f t="shared" ref="I50:I54" si="0">SUM(E50:H50)</f>
        <v>16723369.459999999</v>
      </c>
    </row>
    <row r="51" spans="2:9">
      <c r="B51" s="112" t="s">
        <v>121</v>
      </c>
      <c r="C51" s="58"/>
      <c r="D51" s="28"/>
      <c r="E51" s="15">
        <f>E48*E22</f>
        <v>180481</v>
      </c>
      <c r="F51" s="15">
        <f>F48*F22</f>
        <v>515660</v>
      </c>
      <c r="G51" s="15">
        <f>G48*G22</f>
        <v>254478.21</v>
      </c>
      <c r="H51" s="15">
        <f>H48*H22</f>
        <v>0</v>
      </c>
      <c r="I51" s="15">
        <f t="shared" si="0"/>
        <v>950619.21</v>
      </c>
    </row>
    <row r="52" spans="2:9">
      <c r="B52" s="112" t="s">
        <v>120</v>
      </c>
      <c r="C52" s="58"/>
      <c r="D52" s="28"/>
      <c r="E52" s="15">
        <f>E48*E29</f>
        <v>3061731.25</v>
      </c>
      <c r="F52" s="15">
        <f>F48*F29</f>
        <v>5833145.9199999999</v>
      </c>
      <c r="G52" s="15">
        <f>G48*G29</f>
        <v>3850175.39</v>
      </c>
      <c r="H52" s="15">
        <f>H48*H29</f>
        <v>3225453.3000000003</v>
      </c>
      <c r="I52" s="15">
        <f t="shared" si="0"/>
        <v>15970505.860000001</v>
      </c>
    </row>
    <row r="53" spans="2:9">
      <c r="B53" s="112" t="s">
        <v>119</v>
      </c>
      <c r="C53" s="58"/>
      <c r="D53" s="28"/>
      <c r="E53" s="136">
        <f>E48*E34</f>
        <v>1418065</v>
      </c>
      <c r="F53" s="136">
        <f>F48*F34</f>
        <v>2011074</v>
      </c>
      <c r="G53" s="136">
        <f>G48*G34</f>
        <v>1167196.4100000001</v>
      </c>
      <c r="H53" s="136">
        <f>H48*H34</f>
        <v>2011847.49</v>
      </c>
      <c r="I53" s="136">
        <f t="shared" si="0"/>
        <v>6608182.9000000004</v>
      </c>
    </row>
    <row r="54" spans="2:9">
      <c r="B54" s="28"/>
      <c r="C54" s="112"/>
      <c r="D54" s="135" t="s">
        <v>118</v>
      </c>
      <c r="E54" s="15">
        <f>SUM(E50:E53)</f>
        <v>8469715.5</v>
      </c>
      <c r="F54" s="15">
        <f>SUM(F50:F53)</f>
        <v>14399289.84</v>
      </c>
      <c r="G54" s="15">
        <f>SUM(G50:G53)</f>
        <v>8874508.5999999996</v>
      </c>
      <c r="H54" s="15">
        <f>SUM(H50:H53)</f>
        <v>8509163.4900000002</v>
      </c>
      <c r="I54" s="15">
        <f t="shared" si="0"/>
        <v>40252677.43</v>
      </c>
    </row>
    <row r="55" spans="2:9">
      <c r="B55" s="28"/>
      <c r="C55" s="112"/>
      <c r="D55" s="28"/>
      <c r="E55" s="134"/>
      <c r="F55" s="134"/>
      <c r="G55" s="134"/>
      <c r="H55" s="134"/>
      <c r="I55" s="15"/>
    </row>
    <row r="56" spans="2:9">
      <c r="B56" s="58" t="s">
        <v>117</v>
      </c>
      <c r="C56" s="58"/>
      <c r="D56" s="58"/>
      <c r="E56" s="124">
        <v>131765</v>
      </c>
      <c r="F56" s="124">
        <v>239445</v>
      </c>
      <c r="G56" s="124">
        <v>290034</v>
      </c>
      <c r="H56" s="124">
        <v>452446</v>
      </c>
      <c r="I56" s="134">
        <f>SUM(E56:H56)</f>
        <v>1113690</v>
      </c>
    </row>
    <row r="57" spans="2:9" ht="39.75" customHeight="1">
      <c r="B57" s="131"/>
      <c r="C57" s="132"/>
      <c r="D57" s="131"/>
      <c r="E57" s="130"/>
      <c r="F57" s="130"/>
      <c r="G57" s="130"/>
      <c r="H57" s="130"/>
      <c r="I57" s="4"/>
    </row>
    <row r="58" spans="2:9">
      <c r="B58" s="37" t="s">
        <v>116</v>
      </c>
      <c r="C58" s="37"/>
      <c r="D58" s="58"/>
      <c r="E58" s="121">
        <v>282</v>
      </c>
      <c r="F58" s="121">
        <v>452</v>
      </c>
      <c r="G58" s="121">
        <v>310</v>
      </c>
      <c r="H58" s="129">
        <v>0</v>
      </c>
      <c r="I58" s="25"/>
    </row>
    <row r="59" spans="2:9">
      <c r="B59" s="128" t="s">
        <v>115</v>
      </c>
      <c r="C59" s="37"/>
      <c r="D59" s="58"/>
      <c r="E59" s="107">
        <f>'[1]Grant Disc and ESU'!C9</f>
        <v>1179.099136</v>
      </c>
      <c r="F59" s="107">
        <f>E59</f>
        <v>1179.099136</v>
      </c>
      <c r="G59" s="107">
        <f>E59</f>
        <v>1179.099136</v>
      </c>
      <c r="H59" s="107">
        <f>E59</f>
        <v>1179.099136</v>
      </c>
      <c r="I59" s="126"/>
    </row>
    <row r="60" spans="2:9">
      <c r="B60" s="128" t="s">
        <v>114</v>
      </c>
      <c r="C60" s="37"/>
      <c r="D60" s="58"/>
      <c r="E60" s="127">
        <f>E59*0.23225</f>
        <v>273.84577433600003</v>
      </c>
      <c r="F60" s="127">
        <f>E60</f>
        <v>273.84577433600003</v>
      </c>
      <c r="G60" s="127">
        <f>F60</f>
        <v>273.84577433600003</v>
      </c>
      <c r="H60" s="127">
        <f>G60</f>
        <v>273.84577433600003</v>
      </c>
      <c r="I60" s="126"/>
    </row>
    <row r="61" spans="2:9">
      <c r="B61" s="37" t="s">
        <v>113</v>
      </c>
      <c r="C61" s="37"/>
      <c r="D61" s="58"/>
      <c r="E61" s="107">
        <f>SUM(E59:E60)</f>
        <v>1452.944910336</v>
      </c>
      <c r="F61" s="107">
        <f>SUM(F59:F60)</f>
        <v>1452.944910336</v>
      </c>
      <c r="G61" s="107">
        <f>SUM(G59:G60)</f>
        <v>1452.944910336</v>
      </c>
      <c r="H61" s="107">
        <f>SUM(H59:H60)</f>
        <v>1452.944910336</v>
      </c>
      <c r="I61" s="126"/>
    </row>
    <row r="62" spans="2:9">
      <c r="B62" s="37" t="s">
        <v>112</v>
      </c>
      <c r="C62" s="37"/>
      <c r="D62" s="37"/>
      <c r="E62" s="124">
        <f>ROUND(E58*E61,0)</f>
        <v>409730</v>
      </c>
      <c r="F62" s="124">
        <f>ROUND(F58*F61,0)</f>
        <v>656731</v>
      </c>
      <c r="G62" s="124">
        <f>ROUND(G58*G61,0)</f>
        <v>450413</v>
      </c>
      <c r="H62" s="124">
        <f>ROUND(H58*H61,0)</f>
        <v>0</v>
      </c>
      <c r="I62" s="120">
        <f>ROUND(SUM(E62:H62),0)</f>
        <v>1516874</v>
      </c>
    </row>
    <row r="63" spans="2:9">
      <c r="B63" s="37"/>
      <c r="C63" s="37"/>
      <c r="D63" s="37"/>
      <c r="E63" s="123"/>
      <c r="F63" s="123"/>
      <c r="G63" s="123"/>
      <c r="H63" s="123"/>
      <c r="I63" s="122"/>
    </row>
    <row r="64" spans="2:9">
      <c r="B64" s="37" t="s">
        <v>111</v>
      </c>
      <c r="C64" s="37"/>
      <c r="D64" s="37"/>
      <c r="E64" s="121">
        <v>7.3</v>
      </c>
      <c r="F64" s="121">
        <v>8.4</v>
      </c>
      <c r="G64" s="121">
        <v>4.55</v>
      </c>
      <c r="H64" s="125">
        <v>3</v>
      </c>
      <c r="I64" s="28">
        <f>SUM(E64:H64)</f>
        <v>23.25</v>
      </c>
    </row>
    <row r="65" spans="2:9">
      <c r="B65" s="37" t="s">
        <v>110</v>
      </c>
      <c r="C65" s="37"/>
      <c r="D65" s="37"/>
      <c r="E65" s="124">
        <f>ROUND(E$64*E$48*2,0)</f>
        <v>376432</v>
      </c>
      <c r="F65" s="124">
        <f>ROUND(F$64*F$48*2,0)</f>
        <v>433154</v>
      </c>
      <c r="G65" s="124">
        <f>ROUND(G$64*G$48*2,0)</f>
        <v>234625</v>
      </c>
      <c r="H65" s="124">
        <f>ROUND(H$64*H$48*2,0)</f>
        <v>154698</v>
      </c>
      <c r="I65" s="120">
        <f>ROUND(SUM(E65:H65),0)</f>
        <v>1198909</v>
      </c>
    </row>
    <row r="66" spans="2:9">
      <c r="B66" s="37"/>
      <c r="C66" s="37"/>
      <c r="D66" s="37"/>
      <c r="E66" s="123"/>
      <c r="F66" s="123"/>
      <c r="G66" s="123"/>
      <c r="H66" s="123"/>
      <c r="I66" s="122"/>
    </row>
    <row r="67" spans="2:9">
      <c r="B67" s="37" t="s">
        <v>109</v>
      </c>
      <c r="C67" s="37"/>
      <c r="D67" s="37"/>
      <c r="E67" s="121">
        <v>14.3</v>
      </c>
      <c r="F67" s="121">
        <v>17.8</v>
      </c>
      <c r="G67" s="121">
        <v>15</v>
      </c>
      <c r="H67" s="121">
        <v>8.4</v>
      </c>
      <c r="I67" s="111">
        <f>SUM(E67:H67)</f>
        <v>55.5</v>
      </c>
    </row>
    <row r="68" spans="2:9">
      <c r="B68" s="37" t="s">
        <v>108</v>
      </c>
      <c r="C68" s="37"/>
      <c r="D68" s="37"/>
      <c r="E68" s="120">
        <f>ROUND(E$67*E$48*2,0)</f>
        <v>737394</v>
      </c>
      <c r="F68" s="120">
        <f>ROUND(F$67*F$48*2,0)</f>
        <v>917875</v>
      </c>
      <c r="G68" s="120">
        <f>ROUND(G$67*G$48*2,0)</f>
        <v>773490</v>
      </c>
      <c r="H68" s="120">
        <f>ROUND(H$67*H$48*2,0)</f>
        <v>433154</v>
      </c>
      <c r="I68" s="120">
        <f>ROUND(SUM(E68:H68),0)</f>
        <v>2861913</v>
      </c>
    </row>
    <row r="69" spans="2:9" ht="15.75">
      <c r="B69" s="27"/>
      <c r="C69" s="119"/>
      <c r="D69" s="119"/>
      <c r="E69" s="118"/>
      <c r="F69" s="118"/>
      <c r="G69" s="118"/>
      <c r="H69" s="118"/>
      <c r="I69" s="117"/>
    </row>
    <row r="70" spans="2:9" ht="23.25" customHeight="1">
      <c r="B70" s="110"/>
      <c r="C70" s="37"/>
      <c r="D70" s="188" t="s">
        <v>107</v>
      </c>
      <c r="E70" s="189">
        <f>SUM(E68,E65,E62,E56,E54,E44)</f>
        <v>28582994.5</v>
      </c>
      <c r="F70" s="189">
        <f>SUM(F68,F65,F62,F56,F54,F44)</f>
        <v>40086436.840000004</v>
      </c>
      <c r="G70" s="189">
        <f>SUM(G68,G65,G62,G56,G54,G44)</f>
        <v>21936317.600000001</v>
      </c>
      <c r="H70" s="189">
        <f>SUM(H68,H65,H62,H56,H54,H44)</f>
        <v>19406298.490000002</v>
      </c>
      <c r="I70" s="190">
        <f>ROUND(SUM(E70:H70),0)</f>
        <v>110012047</v>
      </c>
    </row>
    <row r="71" spans="2:9">
      <c r="B71" s="110"/>
      <c r="C71" s="110"/>
      <c r="D71" s="28"/>
      <c r="E71" s="28"/>
      <c r="F71" s="28"/>
      <c r="G71" s="28"/>
      <c r="H71" s="28"/>
      <c r="I71" s="28"/>
    </row>
    <row r="72" spans="2:9" hidden="1">
      <c r="B72" s="193" t="s">
        <v>106</v>
      </c>
      <c r="C72" s="193"/>
      <c r="D72" s="193"/>
      <c r="E72" s="193"/>
      <c r="F72" s="193"/>
      <c r="G72" s="193"/>
      <c r="H72" s="193"/>
      <c r="I72" s="193"/>
    </row>
    <row r="73" spans="2:9" hidden="1">
      <c r="B73" s="112"/>
      <c r="C73" s="110"/>
      <c r="D73" s="28"/>
      <c r="E73" s="115" t="s">
        <v>36</v>
      </c>
      <c r="F73" s="115" t="s">
        <v>35</v>
      </c>
      <c r="G73" s="115" t="s">
        <v>34</v>
      </c>
      <c r="H73" s="116" t="s">
        <v>33</v>
      </c>
      <c r="I73" s="115" t="s">
        <v>32</v>
      </c>
    </row>
    <row r="74" spans="2:9" hidden="1">
      <c r="B74" s="114" t="s">
        <v>105</v>
      </c>
      <c r="C74" s="110"/>
      <c r="D74" s="28"/>
      <c r="E74" s="28"/>
      <c r="F74" s="28"/>
      <c r="G74" s="28"/>
      <c r="H74" s="28"/>
      <c r="I74" s="28"/>
    </row>
    <row r="75" spans="2:9" hidden="1">
      <c r="B75" s="112" t="s">
        <v>104</v>
      </c>
      <c r="C75" s="110"/>
      <c r="D75" s="28"/>
      <c r="E75" s="111">
        <f>4721.86+138.28</f>
        <v>4860.1399999999994</v>
      </c>
      <c r="F75" s="111">
        <f>6606.74+307.94</f>
        <v>6914.6799999999994</v>
      </c>
      <c r="G75" s="111">
        <f>2649.38+49.57</f>
        <v>2698.9500000000003</v>
      </c>
      <c r="H75" s="111">
        <v>0</v>
      </c>
      <c r="I75" s="111">
        <f t="shared" ref="I75:I82" si="1">SUM(E75:H75)</f>
        <v>14473.77</v>
      </c>
    </row>
    <row r="76" spans="2:9" hidden="1">
      <c r="B76" s="112" t="s">
        <v>103</v>
      </c>
      <c r="C76" s="110"/>
      <c r="D76" s="28"/>
      <c r="E76" s="111">
        <f>4825.97+124.78</f>
        <v>4950.75</v>
      </c>
      <c r="F76" s="111">
        <f>6801.17+318.58</f>
        <v>7119.75</v>
      </c>
      <c r="G76" s="111">
        <f>2559.47+56.14</f>
        <v>2615.6099999999997</v>
      </c>
      <c r="H76" s="111">
        <v>0</v>
      </c>
      <c r="I76" s="111">
        <f t="shared" si="1"/>
        <v>14686.11</v>
      </c>
    </row>
    <row r="77" spans="2:9" hidden="1">
      <c r="B77" s="112" t="s">
        <v>102</v>
      </c>
      <c r="C77" s="110"/>
      <c r="D77" s="28"/>
      <c r="E77" s="111">
        <v>0</v>
      </c>
      <c r="F77" s="111">
        <v>0</v>
      </c>
      <c r="G77" s="111">
        <v>0</v>
      </c>
      <c r="H77" s="111">
        <f>3708.19-148.92</f>
        <v>3559.27</v>
      </c>
      <c r="I77" s="111">
        <f t="shared" si="1"/>
        <v>3559.27</v>
      </c>
    </row>
    <row r="78" spans="2:9" hidden="1">
      <c r="B78" s="112" t="s">
        <v>101</v>
      </c>
      <c r="C78" s="110"/>
      <c r="D78" s="28"/>
      <c r="E78" s="111">
        <v>0</v>
      </c>
      <c r="F78" s="111">
        <v>0</v>
      </c>
      <c r="G78" s="111">
        <v>0</v>
      </c>
      <c r="H78" s="111">
        <f>4002.17-159.29</f>
        <v>3842.88</v>
      </c>
      <c r="I78" s="111">
        <f t="shared" si="1"/>
        <v>3842.88</v>
      </c>
    </row>
    <row r="79" spans="2:9" hidden="1">
      <c r="B79" s="109" t="s">
        <v>100</v>
      </c>
      <c r="C79" s="110"/>
      <c r="D79" s="28"/>
      <c r="E79" s="111">
        <v>0</v>
      </c>
      <c r="F79" s="111">
        <v>0</v>
      </c>
      <c r="G79" s="111">
        <v>0</v>
      </c>
      <c r="H79" s="111">
        <v>0</v>
      </c>
      <c r="I79" s="111">
        <f t="shared" si="1"/>
        <v>0</v>
      </c>
    </row>
    <row r="80" spans="2:9" hidden="1">
      <c r="B80" s="109" t="s">
        <v>99</v>
      </c>
      <c r="C80" s="110"/>
      <c r="D80" s="28"/>
      <c r="E80" s="111">
        <f>30.22+1547.54</f>
        <v>1577.76</v>
      </c>
      <c r="F80" s="111">
        <f>54.48+1781.34</f>
        <v>1835.82</v>
      </c>
      <c r="G80" s="111">
        <f>775.97+9.23</f>
        <v>785.2</v>
      </c>
      <c r="H80" s="111">
        <f>1237.54-19.64</f>
        <v>1217.8999999999999</v>
      </c>
      <c r="I80" s="111">
        <f t="shared" si="1"/>
        <v>5416.6799999999994</v>
      </c>
    </row>
    <row r="81" spans="2:9" hidden="1">
      <c r="B81" s="109" t="s">
        <v>98</v>
      </c>
      <c r="C81" s="110"/>
      <c r="D81" s="28"/>
      <c r="E81" s="111">
        <v>36.229999999999997</v>
      </c>
      <c r="F81" s="111">
        <v>0</v>
      </c>
      <c r="G81" s="111">
        <v>14.25</v>
      </c>
      <c r="H81" s="111">
        <v>0</v>
      </c>
      <c r="I81" s="111">
        <f t="shared" si="1"/>
        <v>50.48</v>
      </c>
    </row>
    <row r="82" spans="2:9" hidden="1">
      <c r="B82" s="109" t="s">
        <v>97</v>
      </c>
      <c r="C82" s="110"/>
      <c r="D82" s="28"/>
      <c r="E82" s="113">
        <v>0</v>
      </c>
      <c r="F82" s="113">
        <v>0</v>
      </c>
      <c r="G82" s="113">
        <v>1086.98</v>
      </c>
      <c r="H82" s="113">
        <v>0</v>
      </c>
      <c r="I82" s="113">
        <f t="shared" si="1"/>
        <v>1086.98</v>
      </c>
    </row>
    <row r="83" spans="2:9" hidden="1">
      <c r="B83" s="65" t="s">
        <v>96</v>
      </c>
      <c r="C83" s="110"/>
      <c r="D83" s="28"/>
      <c r="E83" s="111">
        <f>SUM(E75:E82)</f>
        <v>11424.88</v>
      </c>
      <c r="F83" s="111">
        <f>SUM(F75:F82)</f>
        <v>15870.25</v>
      </c>
      <c r="G83" s="111">
        <f>SUM(G75:G82)</f>
        <v>7200.99</v>
      </c>
      <c r="H83" s="111">
        <f>SUM(H75:H82)</f>
        <v>8620.0499999999993</v>
      </c>
      <c r="I83" s="111">
        <f>SUM(I75:I82)</f>
        <v>43116.170000000006</v>
      </c>
    </row>
    <row r="84" spans="2:9" hidden="1">
      <c r="B84" s="109"/>
      <c r="C84" s="110"/>
      <c r="D84" s="28"/>
      <c r="E84" s="111"/>
      <c r="F84" s="111"/>
      <c r="G84" s="111"/>
      <c r="H84" s="111"/>
      <c r="I84" s="111"/>
    </row>
    <row r="85" spans="2:9" hidden="1">
      <c r="B85" s="65" t="s">
        <v>95</v>
      </c>
      <c r="C85" s="110"/>
      <c r="D85" s="28"/>
      <c r="E85" s="111">
        <f>E149</f>
        <v>8445</v>
      </c>
      <c r="F85" s="111">
        <f>F149</f>
        <v>12780</v>
      </c>
      <c r="G85" s="111">
        <f>G149</f>
        <v>8580</v>
      </c>
      <c r="H85" s="111">
        <f>H149</f>
        <v>9216</v>
      </c>
      <c r="I85" s="111">
        <f>SUM(E85:H85)</f>
        <v>39021</v>
      </c>
    </row>
    <row r="86" spans="2:9" hidden="1">
      <c r="B86" s="65"/>
      <c r="C86" s="110"/>
      <c r="D86" s="28"/>
      <c r="E86" s="111"/>
      <c r="F86" s="111"/>
      <c r="G86" s="111"/>
      <c r="H86" s="111"/>
      <c r="I86" s="111"/>
    </row>
    <row r="87" spans="2:9" ht="15.75" hidden="1" customHeight="1">
      <c r="B87" s="65" t="s">
        <v>94</v>
      </c>
      <c r="C87" s="110"/>
      <c r="D87" s="28"/>
      <c r="E87" s="111"/>
      <c r="F87" s="111"/>
      <c r="G87" s="111"/>
      <c r="H87" s="111"/>
      <c r="I87" s="111">
        <v>40842</v>
      </c>
    </row>
    <row r="88" spans="2:9" ht="15.75" hidden="1" customHeight="1">
      <c r="B88" s="65" t="s">
        <v>93</v>
      </c>
      <c r="C88" s="110"/>
      <c r="D88" s="28"/>
      <c r="E88" s="111"/>
      <c r="F88" s="111"/>
      <c r="G88" s="111"/>
      <c r="H88" s="111"/>
      <c r="I88" s="113">
        <v>1090.24</v>
      </c>
    </row>
    <row r="89" spans="2:9" ht="15.75" hidden="1" customHeight="1">
      <c r="B89" s="25" t="s">
        <v>92</v>
      </c>
      <c r="C89" s="112"/>
      <c r="D89" s="28"/>
      <c r="E89" s="28"/>
      <c r="F89" s="28"/>
      <c r="G89" s="28"/>
      <c r="H89" s="28"/>
      <c r="I89" s="111">
        <f>SUM(I87:I88)</f>
        <v>41932.239999999998</v>
      </c>
    </row>
    <row r="90" spans="2:9" ht="15.75" hidden="1" customHeight="1">
      <c r="B90" s="110"/>
      <c r="C90" s="110"/>
      <c r="D90" s="28"/>
      <c r="E90" s="28"/>
      <c r="F90" s="28"/>
      <c r="G90" s="28"/>
      <c r="H90" s="28"/>
      <c r="I90" s="28"/>
    </row>
    <row r="91" spans="2:9" ht="15.75" hidden="1" customHeight="1">
      <c r="B91" s="110"/>
      <c r="C91" s="110"/>
      <c r="D91" s="28"/>
      <c r="E91" s="28"/>
      <c r="F91" s="28"/>
      <c r="G91" s="28"/>
      <c r="H91" s="28"/>
      <c r="I91" s="28"/>
    </row>
    <row r="92" spans="2:9" hidden="1">
      <c r="B92" s="109"/>
      <c r="C92" s="45"/>
      <c r="D92" s="45"/>
      <c r="E92" s="37"/>
      <c r="F92" s="37"/>
      <c r="G92" s="37"/>
      <c r="H92" s="37"/>
      <c r="I92" s="37"/>
    </row>
    <row r="93" spans="2:9">
      <c r="B93" s="103" t="s">
        <v>91</v>
      </c>
      <c r="C93" s="45"/>
      <c r="D93" s="45"/>
      <c r="E93" s="44" t="s">
        <v>36</v>
      </c>
      <c r="F93" s="43" t="s">
        <v>35</v>
      </c>
      <c r="G93" s="42" t="s">
        <v>34</v>
      </c>
      <c r="H93" s="41" t="s">
        <v>33</v>
      </c>
      <c r="I93" s="69" t="s">
        <v>32</v>
      </c>
    </row>
    <row r="94" spans="2:9">
      <c r="B94" s="65"/>
      <c r="C94" s="108" t="s">
        <v>90</v>
      </c>
      <c r="D94" s="108"/>
      <c r="E94" s="79">
        <v>2575106</v>
      </c>
      <c r="F94" s="79">
        <v>2823967</v>
      </c>
      <c r="G94" s="79">
        <v>1991982</v>
      </c>
      <c r="H94" s="79">
        <v>2318488</v>
      </c>
      <c r="I94" s="79">
        <f t="shared" ref="I94:I112" si="2">ROUND(SUM(E94:H94),0)</f>
        <v>9709543</v>
      </c>
    </row>
    <row r="95" spans="2:9">
      <c r="B95" s="65"/>
      <c r="C95" s="71" t="s">
        <v>89</v>
      </c>
      <c r="D95" s="108"/>
      <c r="E95" s="79">
        <v>977598</v>
      </c>
      <c r="F95" s="79">
        <v>1226421</v>
      </c>
      <c r="G95" s="79">
        <v>743447</v>
      </c>
      <c r="H95" s="79">
        <v>883702</v>
      </c>
      <c r="I95" s="79">
        <f t="shared" si="2"/>
        <v>3831168</v>
      </c>
    </row>
    <row r="96" spans="2:9" hidden="1">
      <c r="B96" s="65"/>
      <c r="C96" s="71" t="s">
        <v>88</v>
      </c>
      <c r="D96" s="108"/>
      <c r="E96" s="79"/>
      <c r="F96" s="79"/>
      <c r="G96" s="79"/>
      <c r="H96" s="107"/>
      <c r="I96" s="79">
        <f t="shared" si="2"/>
        <v>0</v>
      </c>
    </row>
    <row r="97" spans="2:9" hidden="1">
      <c r="B97" s="65"/>
      <c r="C97" s="71" t="s">
        <v>87</v>
      </c>
      <c r="D97" s="108"/>
      <c r="E97" s="79"/>
      <c r="F97" s="79"/>
      <c r="G97" s="79"/>
      <c r="H97" s="107"/>
      <c r="I97" s="79">
        <f t="shared" si="2"/>
        <v>0</v>
      </c>
    </row>
    <row r="98" spans="2:9">
      <c r="B98" s="65"/>
      <c r="C98" s="71" t="s">
        <v>86</v>
      </c>
      <c r="D98" s="108"/>
      <c r="E98" s="79">
        <v>1571475</v>
      </c>
      <c r="F98" s="79">
        <v>4212485</v>
      </c>
      <c r="G98" s="79">
        <v>3052919</v>
      </c>
      <c r="H98" s="107">
        <v>1215524</v>
      </c>
      <c r="I98" s="79">
        <f t="shared" si="2"/>
        <v>10052403</v>
      </c>
    </row>
    <row r="99" spans="2:9">
      <c r="B99" s="65"/>
      <c r="C99" s="71" t="s">
        <v>85</v>
      </c>
      <c r="D99" s="108"/>
      <c r="E99" s="79">
        <v>635308</v>
      </c>
      <c r="F99" s="79">
        <v>1701830</v>
      </c>
      <c r="G99" s="79">
        <v>1284068</v>
      </c>
      <c r="H99" s="107">
        <v>530273</v>
      </c>
      <c r="I99" s="79">
        <f t="shared" si="2"/>
        <v>4151479</v>
      </c>
    </row>
    <row r="100" spans="2:9" hidden="1">
      <c r="B100" s="65"/>
      <c r="C100" s="71" t="s">
        <v>84</v>
      </c>
      <c r="D100" s="108"/>
      <c r="E100" s="79"/>
      <c r="F100" s="79"/>
      <c r="G100" s="79"/>
      <c r="H100" s="79"/>
      <c r="I100" s="79">
        <f t="shared" si="2"/>
        <v>0</v>
      </c>
    </row>
    <row r="101" spans="2:9" hidden="1">
      <c r="B101" s="65"/>
      <c r="C101" s="71" t="s">
        <v>83</v>
      </c>
      <c r="D101" s="108"/>
      <c r="E101" s="79"/>
      <c r="F101" s="79"/>
      <c r="G101" s="79"/>
      <c r="H101" s="79"/>
      <c r="I101" s="79">
        <f t="shared" si="2"/>
        <v>0</v>
      </c>
    </row>
    <row r="102" spans="2:9">
      <c r="B102" s="65"/>
      <c r="C102" s="71" t="s">
        <v>82</v>
      </c>
      <c r="D102" s="108"/>
      <c r="E102" s="79">
        <v>2256457</v>
      </c>
      <c r="F102" s="79">
        <v>3311885</v>
      </c>
      <c r="G102" s="79">
        <v>2202298</v>
      </c>
      <c r="H102" s="107">
        <v>1282646</v>
      </c>
      <c r="I102" s="79">
        <f t="shared" si="2"/>
        <v>9053286</v>
      </c>
    </row>
    <row r="103" spans="2:9">
      <c r="B103" s="65"/>
      <c r="C103" s="71" t="s">
        <v>81</v>
      </c>
      <c r="D103" s="108"/>
      <c r="E103" s="79">
        <v>897914</v>
      </c>
      <c r="F103" s="79">
        <v>1346945</v>
      </c>
      <c r="G103" s="79">
        <v>932281</v>
      </c>
      <c r="H103" s="107">
        <v>514225</v>
      </c>
      <c r="I103" s="79">
        <f t="shared" si="2"/>
        <v>3691365</v>
      </c>
    </row>
    <row r="104" spans="2:9" hidden="1">
      <c r="B104" s="65"/>
      <c r="C104" s="71" t="s">
        <v>80</v>
      </c>
      <c r="D104" s="108"/>
      <c r="E104" s="79"/>
      <c r="F104" s="79"/>
      <c r="G104" s="79"/>
      <c r="H104" s="107"/>
      <c r="I104" s="79">
        <f t="shared" si="2"/>
        <v>0</v>
      </c>
    </row>
    <row r="105" spans="2:9" hidden="1">
      <c r="B105" s="65"/>
      <c r="C105" s="71" t="s">
        <v>79</v>
      </c>
      <c r="D105" s="108"/>
      <c r="E105" s="79"/>
      <c r="F105" s="79"/>
      <c r="G105" s="79"/>
      <c r="H105" s="107"/>
      <c r="I105" s="79">
        <f t="shared" si="2"/>
        <v>0</v>
      </c>
    </row>
    <row r="106" spans="2:9">
      <c r="B106" s="65"/>
      <c r="C106" s="108" t="s">
        <v>78</v>
      </c>
      <c r="D106" s="71"/>
      <c r="E106" s="79">
        <v>7457411</v>
      </c>
      <c r="F106" s="79">
        <v>8504348</v>
      </c>
      <c r="G106" s="79">
        <v>5500809</v>
      </c>
      <c r="H106" s="79">
        <v>4464335</v>
      </c>
      <c r="I106" s="79">
        <f t="shared" si="2"/>
        <v>25926903</v>
      </c>
    </row>
    <row r="107" spans="2:9">
      <c r="B107" s="65"/>
      <c r="C107" s="71" t="s">
        <v>77</v>
      </c>
      <c r="D107" s="71"/>
      <c r="E107" s="79">
        <v>4434714</v>
      </c>
      <c r="F107" s="79">
        <v>5077748</v>
      </c>
      <c r="G107" s="79">
        <v>3304149</v>
      </c>
      <c r="H107" s="79">
        <v>2619191</v>
      </c>
      <c r="I107" s="79">
        <f t="shared" si="2"/>
        <v>15435802</v>
      </c>
    </row>
    <row r="108" spans="2:9" hidden="1">
      <c r="B108" s="65"/>
      <c r="C108" s="71" t="s">
        <v>76</v>
      </c>
      <c r="D108" s="71"/>
      <c r="E108" s="79"/>
      <c r="F108" s="79"/>
      <c r="G108" s="79"/>
      <c r="H108" s="107"/>
      <c r="I108" s="79">
        <f t="shared" si="2"/>
        <v>0</v>
      </c>
    </row>
    <row r="109" spans="2:9" hidden="1">
      <c r="B109" s="65"/>
      <c r="C109" s="71" t="s">
        <v>75</v>
      </c>
      <c r="D109" s="71"/>
      <c r="E109" s="79"/>
      <c r="F109" s="79"/>
      <c r="G109" s="79"/>
      <c r="H109" s="107"/>
      <c r="I109" s="79">
        <f t="shared" si="2"/>
        <v>0</v>
      </c>
    </row>
    <row r="110" spans="2:9">
      <c r="B110" s="65"/>
      <c r="C110" s="108" t="s">
        <v>74</v>
      </c>
      <c r="D110" s="71"/>
      <c r="E110" s="79">
        <v>1700859</v>
      </c>
      <c r="F110" s="79">
        <v>2384139</v>
      </c>
      <c r="G110" s="79">
        <v>1995800</v>
      </c>
      <c r="H110" s="107">
        <v>890145</v>
      </c>
      <c r="I110" s="79">
        <f t="shared" si="2"/>
        <v>6970943</v>
      </c>
    </row>
    <row r="111" spans="2:9" ht="16.5">
      <c r="B111" s="65"/>
      <c r="C111" s="106" t="s">
        <v>73</v>
      </c>
      <c r="D111" s="71"/>
      <c r="E111" s="104">
        <v>1036967</v>
      </c>
      <c r="F111" s="104">
        <v>1491628</v>
      </c>
      <c r="G111" s="104">
        <v>1233386</v>
      </c>
      <c r="H111" s="105">
        <v>544414</v>
      </c>
      <c r="I111" s="104">
        <f t="shared" si="2"/>
        <v>4306395</v>
      </c>
    </row>
    <row r="112" spans="2:9">
      <c r="B112" s="103" t="s">
        <v>72</v>
      </c>
      <c r="C112" s="45"/>
      <c r="D112" s="45"/>
      <c r="E112" s="70">
        <f>ROUND(SUM(E94:E111),0)</f>
        <v>23543809</v>
      </c>
      <c r="F112" s="70">
        <f>ROUND(SUM(F94:F111),0)</f>
        <v>32081396</v>
      </c>
      <c r="G112" s="70">
        <f>ROUND(SUM(G94:G111),0)</f>
        <v>22241139</v>
      </c>
      <c r="H112" s="70">
        <f>ROUND(SUM(H94:H111),0)</f>
        <v>15262943</v>
      </c>
      <c r="I112" s="70">
        <f t="shared" si="2"/>
        <v>93129287</v>
      </c>
    </row>
    <row r="113" spans="2:9">
      <c r="B113" s="65"/>
      <c r="C113" s="45"/>
      <c r="D113" s="45"/>
      <c r="E113" s="47"/>
      <c r="F113" s="47"/>
      <c r="G113" s="47"/>
      <c r="H113" s="47"/>
      <c r="I113" s="47"/>
    </row>
    <row r="114" spans="2:9" hidden="1">
      <c r="B114" s="102" t="s">
        <v>71</v>
      </c>
      <c r="C114" s="93"/>
      <c r="D114" s="93"/>
      <c r="E114" s="101" t="s">
        <v>36</v>
      </c>
      <c r="F114" s="101" t="s">
        <v>35</v>
      </c>
      <c r="G114" s="101" t="s">
        <v>34</v>
      </c>
      <c r="H114" s="101" t="s">
        <v>33</v>
      </c>
      <c r="I114" s="101" t="s">
        <v>32</v>
      </c>
    </row>
    <row r="115" spans="2:9" hidden="1">
      <c r="B115" s="100" t="s">
        <v>70</v>
      </c>
      <c r="C115" s="93"/>
      <c r="D115" s="93"/>
      <c r="E115" s="98">
        <v>0</v>
      </c>
      <c r="F115" s="98"/>
      <c r="G115" s="98"/>
      <c r="H115" s="99">
        <v>0</v>
      </c>
      <c r="I115" s="98">
        <f>SUM(E115:H115)</f>
        <v>0</v>
      </c>
    </row>
    <row r="116" spans="2:9" hidden="1">
      <c r="B116" s="93" t="s">
        <v>69</v>
      </c>
      <c r="C116" s="93"/>
      <c r="D116" s="93"/>
      <c r="E116" s="97">
        <v>15</v>
      </c>
      <c r="F116" s="97">
        <f>E116</f>
        <v>15</v>
      </c>
      <c r="G116" s="97">
        <f>F116</f>
        <v>15</v>
      </c>
      <c r="H116" s="97">
        <f>E116</f>
        <v>15</v>
      </c>
      <c r="I116" s="97">
        <f>E116</f>
        <v>15</v>
      </c>
    </row>
    <row r="117" spans="2:9" hidden="1">
      <c r="B117" s="93" t="s">
        <v>68</v>
      </c>
      <c r="C117" s="93"/>
      <c r="D117" s="93"/>
      <c r="E117" s="98">
        <f>ROUND(E115/E116,2)</f>
        <v>0</v>
      </c>
      <c r="F117" s="98">
        <f>ROUND(F115/F116,2)</f>
        <v>0</v>
      </c>
      <c r="G117" s="98">
        <f>ROUND(G115/G116,2)</f>
        <v>0</v>
      </c>
      <c r="H117" s="98">
        <f>ROUND(H115/H116,2)</f>
        <v>0</v>
      </c>
      <c r="I117" s="98">
        <f>ROUND(SUM(E117:H117),2)</f>
        <v>0</v>
      </c>
    </row>
    <row r="118" spans="2:9" hidden="1">
      <c r="B118" s="93" t="s">
        <v>67</v>
      </c>
      <c r="C118" s="93"/>
      <c r="D118" s="93"/>
      <c r="E118" s="97">
        <v>0</v>
      </c>
      <c r="F118" s="97">
        <v>0</v>
      </c>
      <c r="G118" s="97">
        <v>0</v>
      </c>
      <c r="H118" s="97">
        <v>0</v>
      </c>
      <c r="I118" s="97">
        <f>ROUND(SUM(E118:H118),2)</f>
        <v>0</v>
      </c>
    </row>
    <row r="119" spans="2:9" hidden="1">
      <c r="B119" s="93" t="s">
        <v>66</v>
      </c>
      <c r="C119" s="93"/>
      <c r="D119" s="93"/>
      <c r="E119" s="97">
        <f>SUM(E117:E118)</f>
        <v>0</v>
      </c>
      <c r="F119" s="97">
        <f>SUM(F117:F118)</f>
        <v>0</v>
      </c>
      <c r="G119" s="97">
        <f>SUM(G117:G118)</f>
        <v>0</v>
      </c>
      <c r="H119" s="97">
        <f>SUM(H117:H118)</f>
        <v>0</v>
      </c>
      <c r="I119" s="97">
        <f>SUM(I117:I118)</f>
        <v>0</v>
      </c>
    </row>
    <row r="120" spans="2:9" hidden="1">
      <c r="B120" s="93" t="s">
        <v>65</v>
      </c>
      <c r="C120" s="93"/>
      <c r="D120" s="93"/>
      <c r="E120" s="95">
        <f>ROUND(E48,0)</f>
        <v>25783</v>
      </c>
      <c r="F120" s="95">
        <f>ROUND(F48,0)</f>
        <v>25783</v>
      </c>
      <c r="G120" s="95">
        <f>ROUND(G48,0)</f>
        <v>25783</v>
      </c>
      <c r="H120" s="95">
        <f>ROUND(H48,0)</f>
        <v>25783</v>
      </c>
      <c r="I120" s="96">
        <f>ROUND(I48,0)</f>
        <v>0</v>
      </c>
    </row>
    <row r="121" spans="2:9" hidden="1">
      <c r="B121" s="93" t="s">
        <v>64</v>
      </c>
      <c r="C121" s="93"/>
      <c r="D121" s="93"/>
      <c r="E121" s="95" t="e">
        <f>ROUND(#REF!/2,0)</f>
        <v>#REF!</v>
      </c>
      <c r="F121" s="95" t="e">
        <f>ROUND(#REF!/2,0)</f>
        <v>#REF!</v>
      </c>
      <c r="G121" s="95" t="e">
        <f>ROUND(#REF!/2,0)</f>
        <v>#REF!</v>
      </c>
      <c r="H121" s="95" t="e">
        <f>ROUND(#REF!/2,0)</f>
        <v>#REF!</v>
      </c>
      <c r="I121" s="95" t="e">
        <f>E121</f>
        <v>#REF!</v>
      </c>
    </row>
    <row r="122" spans="2:9" hidden="1">
      <c r="B122" s="93" t="s">
        <v>63</v>
      </c>
      <c r="C122" s="93"/>
      <c r="D122" s="93"/>
      <c r="E122" s="70" t="e">
        <f>ROUND(E119*SUM(E120:E121),0)</f>
        <v>#REF!</v>
      </c>
      <c r="F122" s="70" t="e">
        <f>ROUND(F119*SUM(F120:F121),0)</f>
        <v>#REF!</v>
      </c>
      <c r="G122" s="70" t="e">
        <f>ROUND(G119*SUM(G120:G121),0)</f>
        <v>#REF!</v>
      </c>
      <c r="H122" s="70" t="e">
        <f>ROUND(H119*SUM(H120:H121),0)</f>
        <v>#REF!</v>
      </c>
      <c r="I122" s="94" t="e">
        <f>ROUND(I117*SUM(I120:I121),0)</f>
        <v>#REF!</v>
      </c>
    </row>
    <row r="123" spans="2:9" hidden="1">
      <c r="B123" s="65"/>
      <c r="C123" s="45"/>
      <c r="D123" s="45"/>
      <c r="E123" s="47"/>
      <c r="F123" s="47"/>
      <c r="G123" s="47"/>
      <c r="H123" s="47"/>
      <c r="I123" s="47"/>
    </row>
    <row r="124" spans="2:9">
      <c r="B124" s="93"/>
      <c r="C124" s="93"/>
      <c r="D124" s="93"/>
      <c r="E124" s="70"/>
      <c r="F124" s="70"/>
      <c r="G124" s="70"/>
      <c r="H124" s="70"/>
      <c r="I124" s="70"/>
    </row>
    <row r="125" spans="2:9" ht="15.75">
      <c r="B125" s="46" t="s">
        <v>62</v>
      </c>
      <c r="C125" s="85"/>
      <c r="D125" s="91"/>
      <c r="E125" s="92" t="s">
        <v>59</v>
      </c>
      <c r="F125" s="92" t="s">
        <v>61</v>
      </c>
      <c r="G125" s="92" t="s">
        <v>32</v>
      </c>
      <c r="H125" s="92"/>
      <c r="I125" s="92" t="s">
        <v>32</v>
      </c>
    </row>
    <row r="126" spans="2:9" ht="6.75" customHeight="1">
      <c r="B126" s="40"/>
      <c r="C126" s="85"/>
      <c r="D126" s="91"/>
      <c r="E126" s="90"/>
      <c r="F126" s="89"/>
      <c r="G126" s="85"/>
      <c r="H126" s="89"/>
      <c r="I126" s="89"/>
    </row>
    <row r="127" spans="2:9" ht="15.75">
      <c r="B127" s="88" t="s">
        <v>60</v>
      </c>
      <c r="C127" s="88"/>
      <c r="D127" s="87"/>
      <c r="E127" s="88"/>
      <c r="F127" s="88"/>
      <c r="G127" s="87">
        <v>1257</v>
      </c>
      <c r="H127" s="86"/>
      <c r="I127" s="84"/>
    </row>
    <row r="128" spans="2:9" ht="14.25" customHeight="1">
      <c r="B128" s="85"/>
      <c r="C128" s="85"/>
      <c r="D128" s="85"/>
      <c r="E128" s="85"/>
      <c r="F128" s="85"/>
      <c r="G128" s="85"/>
      <c r="H128" s="84"/>
      <c r="I128" s="84"/>
    </row>
    <row r="129" spans="2:9" ht="12.75" customHeight="1">
      <c r="B129" s="83" t="s">
        <v>59</v>
      </c>
      <c r="C129" s="37"/>
      <c r="D129" s="37"/>
      <c r="E129" s="37"/>
      <c r="F129" s="37"/>
      <c r="G129" s="37"/>
      <c r="H129" s="82"/>
      <c r="I129" s="82"/>
    </row>
    <row r="130" spans="2:9" ht="5.25" customHeight="1">
      <c r="B130" s="37"/>
      <c r="C130" s="37"/>
      <c r="D130" s="37"/>
      <c r="E130" s="37"/>
      <c r="F130" s="37"/>
      <c r="G130" s="37"/>
      <c r="H130" s="82"/>
      <c r="I130" s="82"/>
    </row>
    <row r="131" spans="2:9">
      <c r="B131" s="81" t="s">
        <v>58</v>
      </c>
      <c r="C131" s="58"/>
      <c r="D131" s="71"/>
      <c r="E131" s="48">
        <v>4</v>
      </c>
      <c r="F131" s="75">
        <v>430599</v>
      </c>
      <c r="G131" s="79">
        <f>ROUND((F131*E131)*1.0469,0)</f>
        <v>1803176</v>
      </c>
      <c r="H131" s="79"/>
      <c r="I131" s="66">
        <f>G131</f>
        <v>1803176</v>
      </c>
    </row>
    <row r="132" spans="2:9">
      <c r="B132" s="72" t="s">
        <v>57</v>
      </c>
      <c r="C132" s="58"/>
      <c r="D132" s="71"/>
      <c r="E132" s="48">
        <v>3</v>
      </c>
      <c r="F132" s="75">
        <v>140414</v>
      </c>
      <c r="G132" s="79">
        <f>ROUND((E132*F132)*1.0469,0)</f>
        <v>440998</v>
      </c>
      <c r="H132" s="79"/>
      <c r="I132" s="66">
        <f>G132</f>
        <v>440998</v>
      </c>
    </row>
    <row r="133" spans="2:9">
      <c r="B133" s="72" t="s">
        <v>56</v>
      </c>
      <c r="C133" s="58"/>
      <c r="D133" s="71"/>
      <c r="E133" s="48">
        <v>3</v>
      </c>
      <c r="F133" s="75"/>
      <c r="G133" s="79">
        <f>ROUND(F133*E133,0)</f>
        <v>0</v>
      </c>
      <c r="H133" s="79"/>
      <c r="I133" s="66">
        <f>G133</f>
        <v>0</v>
      </c>
    </row>
    <row r="134" spans="2:9">
      <c r="B134" s="72" t="s">
        <v>55</v>
      </c>
      <c r="C134" s="58"/>
      <c r="D134" s="71"/>
      <c r="E134" s="48">
        <v>3</v>
      </c>
      <c r="F134" s="75">
        <v>27383</v>
      </c>
      <c r="G134" s="79">
        <f>ROUND((F134*E134)*1.0469,0)</f>
        <v>86002</v>
      </c>
      <c r="H134" s="79"/>
      <c r="I134" s="66">
        <f>G134</f>
        <v>86002</v>
      </c>
    </row>
    <row r="135" spans="2:9">
      <c r="B135" s="80" t="s">
        <v>54</v>
      </c>
      <c r="C135" s="58"/>
      <c r="D135" s="71"/>
      <c r="E135" s="48"/>
      <c r="F135" s="75"/>
      <c r="G135" s="79"/>
      <c r="H135" s="79"/>
      <c r="I135" s="66"/>
    </row>
    <row r="136" spans="2:9">
      <c r="B136" s="72" t="s">
        <v>53</v>
      </c>
      <c r="C136" s="58"/>
      <c r="D136" s="71"/>
      <c r="E136" s="48"/>
      <c r="F136" s="75">
        <v>542757</v>
      </c>
      <c r="G136" s="79">
        <f>ROUND(F136*1.0469,0)</f>
        <v>568212</v>
      </c>
      <c r="H136" s="79"/>
      <c r="I136" s="66">
        <f>G136</f>
        <v>568212</v>
      </c>
    </row>
    <row r="137" spans="2:9">
      <c r="B137" s="72" t="s">
        <v>52</v>
      </c>
      <c r="C137" s="58"/>
      <c r="D137" s="71"/>
      <c r="E137" s="48"/>
      <c r="F137" s="75">
        <v>296446</v>
      </c>
      <c r="G137" s="79">
        <f>ROUND(F137*1.0469,0)</f>
        <v>310349</v>
      </c>
      <c r="H137" s="79"/>
      <c r="I137" s="66">
        <f>G137</f>
        <v>310349</v>
      </c>
    </row>
    <row r="138" spans="2:9">
      <c r="B138" s="72" t="s">
        <v>51</v>
      </c>
      <c r="C138" s="58"/>
      <c r="D138" s="71"/>
      <c r="E138" s="48"/>
      <c r="F138" s="75">
        <v>20654</v>
      </c>
      <c r="G138" s="79">
        <f>ROUND(F138*1.0469,0)</f>
        <v>21623</v>
      </c>
      <c r="H138" s="79"/>
      <c r="I138" s="66">
        <f>G138</f>
        <v>21623</v>
      </c>
    </row>
    <row r="139" spans="2:9">
      <c r="B139" s="72" t="s">
        <v>50</v>
      </c>
      <c r="C139" s="58"/>
      <c r="D139" s="71"/>
      <c r="E139" s="48"/>
      <c r="F139" s="75">
        <v>42940</v>
      </c>
      <c r="G139" s="79">
        <f>ROUND(F139*1.0469,0)</f>
        <v>44954</v>
      </c>
      <c r="H139" s="79"/>
      <c r="I139" s="66">
        <f>G139</f>
        <v>44954</v>
      </c>
    </row>
    <row r="140" spans="2:9">
      <c r="B140" s="78" t="s">
        <v>49</v>
      </c>
      <c r="C140" s="77"/>
      <c r="D140" s="76"/>
      <c r="E140" s="48"/>
      <c r="F140" s="75">
        <v>845269</v>
      </c>
      <c r="G140" s="74">
        <f>ROUND(F140*1.0469,0)</f>
        <v>884912</v>
      </c>
      <c r="H140" s="74"/>
      <c r="I140" s="73">
        <f>G140</f>
        <v>884912</v>
      </c>
    </row>
    <row r="141" spans="2:9">
      <c r="B141" s="72" t="s">
        <v>48</v>
      </c>
      <c r="C141" s="58"/>
      <c r="D141" s="71"/>
      <c r="E141" s="48"/>
      <c r="F141" s="48"/>
      <c r="G141" s="70">
        <f>SUM(G131:G140)</f>
        <v>4160226</v>
      </c>
      <c r="H141" s="48"/>
      <c r="I141" s="70">
        <f>SUM(I131:I140)</f>
        <v>4160226</v>
      </c>
    </row>
    <row r="142" spans="2:9">
      <c r="B142" s="49"/>
      <c r="C142" s="37"/>
      <c r="D142" s="45"/>
      <c r="E142" s="47"/>
      <c r="F142" s="47"/>
      <c r="G142" s="48"/>
      <c r="H142" s="47"/>
      <c r="I142" s="47"/>
    </row>
    <row r="143" spans="2:9" ht="36" customHeight="1">
      <c r="B143" s="49"/>
      <c r="C143" s="37"/>
      <c r="D143" s="45"/>
      <c r="E143" s="47"/>
      <c r="F143" s="47"/>
      <c r="G143" s="48"/>
      <c r="H143" s="47"/>
      <c r="I143" s="47"/>
    </row>
    <row r="144" spans="2:9" ht="21" customHeight="1">
      <c r="B144" s="46" t="s">
        <v>47</v>
      </c>
      <c r="C144" s="37"/>
      <c r="D144" s="45"/>
      <c r="E144" s="47"/>
      <c r="F144" s="47"/>
      <c r="G144" s="48"/>
      <c r="H144" s="50"/>
      <c r="I144" s="47"/>
    </row>
    <row r="145" spans="1:9">
      <c r="B145" s="37"/>
      <c r="C145" s="45"/>
      <c r="D145" s="45"/>
      <c r="E145" s="44" t="s">
        <v>36</v>
      </c>
      <c r="F145" s="43" t="s">
        <v>35</v>
      </c>
      <c r="G145" s="42" t="s">
        <v>34</v>
      </c>
      <c r="H145" s="41" t="s">
        <v>33</v>
      </c>
      <c r="I145" s="69" t="s">
        <v>32</v>
      </c>
    </row>
    <row r="146" spans="1:9">
      <c r="B146" s="49" t="s">
        <v>46</v>
      </c>
      <c r="C146" s="37"/>
      <c r="D146" s="45"/>
      <c r="E146" s="67">
        <v>164480</v>
      </c>
      <c r="F146" s="67">
        <v>274938</v>
      </c>
      <c r="G146" s="68">
        <v>148657</v>
      </c>
      <c r="H146" s="67">
        <v>111926</v>
      </c>
      <c r="I146" s="66">
        <f>SUM(E146:H146)</f>
        <v>700001</v>
      </c>
    </row>
    <row r="147" spans="1:9">
      <c r="B147" s="65" t="s">
        <v>45</v>
      </c>
      <c r="D147" s="45"/>
      <c r="E147" s="63"/>
      <c r="F147" s="63"/>
      <c r="G147" s="64"/>
      <c r="H147" s="63"/>
      <c r="I147" s="63"/>
    </row>
    <row r="148" spans="1:9">
      <c r="B148" s="60" t="s">
        <v>44</v>
      </c>
      <c r="C148" s="37"/>
      <c r="D148" s="45"/>
      <c r="E148" s="62">
        <v>100</v>
      </c>
      <c r="F148" s="62">
        <f>E148</f>
        <v>100</v>
      </c>
      <c r="G148" s="62">
        <f>F148</f>
        <v>100</v>
      </c>
      <c r="H148" s="62">
        <v>141.80000000000001</v>
      </c>
      <c r="I148" s="61"/>
    </row>
    <row r="149" spans="1:9">
      <c r="B149" s="49" t="s">
        <v>43</v>
      </c>
      <c r="C149" s="37"/>
      <c r="D149" s="45"/>
      <c r="E149" s="47">
        <f>E36</f>
        <v>8445</v>
      </c>
      <c r="F149" s="47">
        <f>F36</f>
        <v>12780</v>
      </c>
      <c r="G149" s="48">
        <f>G36+G127</f>
        <v>8580</v>
      </c>
      <c r="H149" s="47">
        <f>H36</f>
        <v>9216</v>
      </c>
      <c r="I149" s="47">
        <f>SUM(E149:H149)</f>
        <v>39021</v>
      </c>
    </row>
    <row r="150" spans="1:9" s="187" customFormat="1" ht="15.75" hidden="1" customHeight="1">
      <c r="A150" s="133"/>
      <c r="B150" s="186"/>
      <c r="C150" s="58"/>
      <c r="D150" s="71"/>
      <c r="E150" s="59"/>
      <c r="F150" s="59"/>
      <c r="G150" s="59"/>
      <c r="H150" s="59"/>
      <c r="I150" s="48">
        <f>SUM(E150:H150)</f>
        <v>0</v>
      </c>
    </row>
    <row r="151" spans="1:9">
      <c r="B151" s="60" t="s">
        <v>42</v>
      </c>
      <c r="C151" s="37"/>
      <c r="D151" s="45"/>
      <c r="E151" s="35">
        <f>(E149+E150)*E148</f>
        <v>844500</v>
      </c>
      <c r="F151" s="35">
        <f>(F149+F150)*F148</f>
        <v>1278000</v>
      </c>
      <c r="G151" s="35">
        <f>(G149+G150)*G148</f>
        <v>858000</v>
      </c>
      <c r="H151" s="35">
        <f>H148*H149</f>
        <v>1306828.8</v>
      </c>
      <c r="I151" s="35">
        <f>SUM(E151:H151)</f>
        <v>4287328.8</v>
      </c>
    </row>
    <row r="152" spans="1:9" ht="7.5" customHeight="1">
      <c r="B152" s="60"/>
      <c r="C152" s="37"/>
      <c r="D152" s="45"/>
      <c r="E152" s="57"/>
      <c r="F152" s="57"/>
      <c r="G152" s="57"/>
      <c r="H152" s="57"/>
      <c r="I152" s="57"/>
    </row>
    <row r="153" spans="1:9">
      <c r="B153" s="49" t="s">
        <v>41</v>
      </c>
      <c r="C153" s="37"/>
      <c r="D153" s="45"/>
      <c r="E153" s="57">
        <f>E151</f>
        <v>844500</v>
      </c>
      <c r="F153" s="57">
        <f>F151</f>
        <v>1278000</v>
      </c>
      <c r="G153" s="57">
        <f>G151</f>
        <v>858000</v>
      </c>
      <c r="H153" s="57">
        <f>H151</f>
        <v>1306828.8</v>
      </c>
      <c r="I153" s="57">
        <f>SUM(E153:H153)</f>
        <v>4287328.8</v>
      </c>
    </row>
    <row r="154" spans="1:9">
      <c r="C154" s="37"/>
      <c r="D154" s="45"/>
      <c r="E154" s="57"/>
      <c r="F154" s="57"/>
      <c r="G154" s="57"/>
      <c r="I154" s="57"/>
    </row>
    <row r="155" spans="1:9">
      <c r="B155" s="49" t="s">
        <v>40</v>
      </c>
      <c r="C155" s="37"/>
      <c r="D155" s="45"/>
      <c r="E155" s="26">
        <f>ROUND(SUM(E146,E153),0)</f>
        <v>1008980</v>
      </c>
      <c r="F155" s="26">
        <f>ROUND(SUM(F146,F153),0)</f>
        <v>1552938</v>
      </c>
      <c r="G155" s="26">
        <f>ROUND(SUM(G146,G153),0)</f>
        <v>1006657</v>
      </c>
      <c r="H155" s="26">
        <f>ROUND(SUM(H146,H153),0)</f>
        <v>1418755</v>
      </c>
      <c r="I155" s="26">
        <f>ROUND(SUM(I146,I153),0)</f>
        <v>4987330</v>
      </c>
    </row>
    <row r="156" spans="1:9" hidden="1">
      <c r="B156" s="56"/>
      <c r="C156" s="55"/>
      <c r="D156" s="54"/>
      <c r="E156" s="53"/>
      <c r="F156" s="53"/>
      <c r="G156" s="52"/>
      <c r="H156" s="51"/>
      <c r="I156" s="35"/>
    </row>
    <row r="157" spans="1:9" ht="5.45" customHeight="1">
      <c r="B157" s="45"/>
      <c r="C157" s="45"/>
      <c r="D157" s="45"/>
      <c r="E157" s="47"/>
      <c r="F157" s="47"/>
      <c r="G157" s="48"/>
      <c r="H157" s="50"/>
      <c r="I157" s="47"/>
    </row>
    <row r="158" spans="1:9">
      <c r="B158" s="49" t="s">
        <v>39</v>
      </c>
      <c r="C158" s="37"/>
      <c r="D158" s="45"/>
      <c r="E158" s="26">
        <f>SUM(E155,E112,E70)</f>
        <v>53135783.5</v>
      </c>
      <c r="F158" s="26">
        <f>SUM(F155,F112,F70,F156)</f>
        <v>73720770.840000004</v>
      </c>
      <c r="G158" s="26">
        <f>SUM(G155,G112,G70,G156,G141)</f>
        <v>49344339.600000001</v>
      </c>
      <c r="H158" s="26">
        <f>SUM(H155,H112,H70,H156)</f>
        <v>36087996.490000002</v>
      </c>
      <c r="I158" s="26">
        <f>ROUND(SUM(I155,I112,I70,I141,I156),0)</f>
        <v>212288890</v>
      </c>
    </row>
    <row r="159" spans="1:9" ht="6" customHeight="1">
      <c r="B159" s="49"/>
      <c r="C159" s="37"/>
      <c r="D159" s="45"/>
      <c r="E159" s="47"/>
      <c r="F159" s="47"/>
      <c r="G159" s="48"/>
      <c r="H159" s="47"/>
      <c r="I159" s="47"/>
    </row>
    <row r="160" spans="1:9">
      <c r="B160" s="49" t="s">
        <v>38</v>
      </c>
      <c r="C160" s="37"/>
      <c r="D160" s="45"/>
      <c r="E160" s="47"/>
      <c r="F160" s="47"/>
      <c r="G160" s="48"/>
      <c r="H160" s="47"/>
      <c r="I160" s="47"/>
    </row>
    <row r="161" spans="2:9" ht="6" customHeight="1">
      <c r="B161" s="45"/>
      <c r="C161" s="37"/>
      <c r="D161" s="45"/>
      <c r="E161" s="47"/>
      <c r="F161" s="47"/>
      <c r="G161" s="48"/>
      <c r="H161" s="47"/>
      <c r="I161" s="47"/>
    </row>
    <row r="162" spans="2:9">
      <c r="B162" s="49" t="s">
        <v>6</v>
      </c>
      <c r="C162" s="37"/>
      <c r="D162" s="45"/>
      <c r="E162" s="47"/>
      <c r="F162" s="47"/>
      <c r="G162" s="48"/>
      <c r="H162" s="47"/>
      <c r="I162" s="47"/>
    </row>
    <row r="163" spans="2:9" ht="18">
      <c r="B163" s="46" t="s">
        <v>37</v>
      </c>
      <c r="C163" s="45"/>
      <c r="D163" s="45"/>
      <c r="E163" s="44" t="s">
        <v>36</v>
      </c>
      <c r="F163" s="43" t="s">
        <v>35</v>
      </c>
      <c r="G163" s="42" t="s">
        <v>34</v>
      </c>
      <c r="H163" s="41" t="s">
        <v>33</v>
      </c>
      <c r="I163" s="40" t="s">
        <v>32</v>
      </c>
    </row>
    <row r="164" spans="2:9" hidden="1">
      <c r="B164" s="11" t="s">
        <v>31</v>
      </c>
      <c r="C164" s="37"/>
      <c r="D164" s="10"/>
      <c r="E164" s="39"/>
      <c r="F164" s="39"/>
      <c r="G164" s="39"/>
      <c r="H164" s="39"/>
      <c r="I164" s="39">
        <f>SUM(E164:H164)</f>
        <v>0</v>
      </c>
    </row>
    <row r="165" spans="2:9" hidden="1">
      <c r="B165" s="11" t="s">
        <v>30</v>
      </c>
      <c r="C165" s="37"/>
      <c r="D165" s="10"/>
      <c r="E165" s="38"/>
      <c r="F165" s="38"/>
      <c r="G165" s="38"/>
      <c r="H165" s="38"/>
      <c r="I165" s="38">
        <f>G165</f>
        <v>0</v>
      </c>
    </row>
    <row r="166" spans="2:9" hidden="1">
      <c r="B166" s="11" t="s">
        <v>29</v>
      </c>
      <c r="C166" s="37"/>
      <c r="D166" s="10"/>
      <c r="E166" s="38"/>
      <c r="F166" s="38"/>
      <c r="G166" s="38"/>
      <c r="H166" s="38"/>
      <c r="I166" s="38">
        <f>G166</f>
        <v>0</v>
      </c>
    </row>
    <row r="167" spans="2:9" hidden="1">
      <c r="B167" s="11" t="s">
        <v>28</v>
      </c>
      <c r="C167" s="37"/>
      <c r="D167" s="10"/>
      <c r="E167" s="16">
        <f>ROUND(SUM(E165:E166),0)</f>
        <v>0</v>
      </c>
      <c r="F167" s="16">
        <f>ROUND(SUM(F165:F166),0)</f>
        <v>0</v>
      </c>
      <c r="G167" s="16">
        <f>ROUND(SUM(G165:G166),0)</f>
        <v>0</v>
      </c>
      <c r="H167" s="16">
        <f>ROUND(SUM(H165:H166),0)</f>
        <v>0</v>
      </c>
      <c r="I167" s="28">
        <f>ROUND(SUM(I165:I166),0)</f>
        <v>0</v>
      </c>
    </row>
    <row r="168" spans="2:9">
      <c r="B168" s="33" t="s">
        <v>27</v>
      </c>
      <c r="C168" s="32"/>
      <c r="D168" s="31"/>
      <c r="E168" s="36">
        <v>492347</v>
      </c>
      <c r="F168" s="36">
        <v>1399107</v>
      </c>
      <c r="G168" s="36">
        <v>425035</v>
      </c>
      <c r="H168" s="36">
        <f>ROUND(H164*H167,0)</f>
        <v>0</v>
      </c>
      <c r="I168" s="35">
        <f t="shared" ref="I168:I186" si="3">SUM(E168:H168)</f>
        <v>2316489</v>
      </c>
    </row>
    <row r="169" spans="2:9">
      <c r="B169" s="33" t="s">
        <v>26</v>
      </c>
      <c r="C169" s="32"/>
      <c r="D169" s="31"/>
      <c r="E169" s="21">
        <v>39760</v>
      </c>
      <c r="F169" s="21">
        <v>60170</v>
      </c>
      <c r="G169" s="21">
        <v>34478</v>
      </c>
      <c r="H169" s="21">
        <f>ROUND(2146*1.025*1.02535*1.0541*1.0469,0)</f>
        <v>2489</v>
      </c>
      <c r="I169" s="16">
        <f t="shared" si="3"/>
        <v>136897</v>
      </c>
    </row>
    <row r="170" spans="2:9">
      <c r="B170" s="33" t="s">
        <v>25</v>
      </c>
      <c r="C170" s="32"/>
      <c r="D170" s="31"/>
      <c r="E170" s="21"/>
      <c r="F170" s="21">
        <v>72024</v>
      </c>
      <c r="G170" s="21"/>
      <c r="H170" s="21"/>
      <c r="I170" s="16">
        <f t="shared" si="3"/>
        <v>72024</v>
      </c>
    </row>
    <row r="171" spans="2:9">
      <c r="B171" s="33" t="s">
        <v>24</v>
      </c>
      <c r="C171" s="32"/>
      <c r="D171" s="31"/>
      <c r="E171" s="21">
        <v>202900</v>
      </c>
      <c r="F171" s="21"/>
      <c r="G171" s="21">
        <v>194179</v>
      </c>
      <c r="H171" s="21"/>
      <c r="I171" s="16">
        <f t="shared" si="3"/>
        <v>397079</v>
      </c>
    </row>
    <row r="172" spans="2:9">
      <c r="B172" s="33" t="s">
        <v>23</v>
      </c>
      <c r="C172" s="32"/>
      <c r="D172" s="31"/>
      <c r="E172" s="21"/>
      <c r="F172" s="21">
        <v>8000</v>
      </c>
      <c r="G172" s="21"/>
      <c r="H172" s="21"/>
      <c r="I172" s="16">
        <f t="shared" si="3"/>
        <v>8000</v>
      </c>
    </row>
    <row r="173" spans="2:9">
      <c r="B173" s="33" t="s">
        <v>22</v>
      </c>
      <c r="C173" s="32"/>
      <c r="D173" s="31"/>
      <c r="E173" s="21">
        <v>148308</v>
      </c>
      <c r="F173" s="21">
        <v>173026</v>
      </c>
      <c r="G173" s="21">
        <v>123590</v>
      </c>
      <c r="H173" s="21">
        <v>74154</v>
      </c>
      <c r="I173" s="16">
        <f t="shared" si="3"/>
        <v>519078</v>
      </c>
    </row>
    <row r="174" spans="2:9">
      <c r="B174" s="33" t="s">
        <v>21</v>
      </c>
      <c r="C174" s="32"/>
      <c r="D174" s="31"/>
      <c r="E174" s="21"/>
      <c r="F174" s="21"/>
      <c r="G174" s="21"/>
      <c r="H174" s="21">
        <v>187716</v>
      </c>
      <c r="I174" s="16">
        <f t="shared" si="3"/>
        <v>187716</v>
      </c>
    </row>
    <row r="175" spans="2:9">
      <c r="B175" s="33" t="s">
        <v>20</v>
      </c>
      <c r="C175" s="32"/>
      <c r="D175" s="31"/>
      <c r="E175" s="21"/>
      <c r="F175" s="34"/>
      <c r="G175" s="21">
        <f>ROUND(41647*1.02535*1.0541*1.0469,0)</f>
        <v>47124</v>
      </c>
      <c r="H175" s="21"/>
      <c r="I175" s="16">
        <f t="shared" si="3"/>
        <v>47124</v>
      </c>
    </row>
    <row r="176" spans="2:9">
      <c r="B176" s="33" t="s">
        <v>19</v>
      </c>
      <c r="C176" s="32"/>
      <c r="D176" s="31"/>
      <c r="E176" s="21"/>
      <c r="F176" s="21"/>
      <c r="G176" s="21">
        <v>3326</v>
      </c>
      <c r="H176" s="21"/>
      <c r="I176" s="16">
        <f t="shared" si="3"/>
        <v>3326</v>
      </c>
    </row>
    <row r="177" spans="2:10">
      <c r="B177" s="33" t="s">
        <v>18</v>
      </c>
      <c r="C177" s="32"/>
      <c r="D177" s="31"/>
      <c r="E177" s="21">
        <v>22735</v>
      </c>
      <c r="F177" s="21">
        <v>33669.199999999997</v>
      </c>
      <c r="G177" s="21">
        <v>32101</v>
      </c>
      <c r="H177" s="21">
        <v>31494</v>
      </c>
      <c r="I177" s="16">
        <f t="shared" si="3"/>
        <v>119999.2</v>
      </c>
    </row>
    <row r="178" spans="2:10">
      <c r="B178" s="33" t="s">
        <v>17</v>
      </c>
      <c r="C178" s="32"/>
      <c r="D178" s="31"/>
      <c r="E178" s="21"/>
      <c r="F178" s="21"/>
      <c r="G178" s="21"/>
      <c r="H178" s="21">
        <v>80000</v>
      </c>
      <c r="I178" s="16">
        <f t="shared" si="3"/>
        <v>80000</v>
      </c>
    </row>
    <row r="179" spans="2:10">
      <c r="B179" s="33" t="s">
        <v>16</v>
      </c>
      <c r="C179" s="32"/>
      <c r="D179" s="31"/>
      <c r="E179" s="21">
        <f>5400*1.37845</f>
        <v>7443.63</v>
      </c>
      <c r="F179" s="21">
        <f>E179</f>
        <v>7443.63</v>
      </c>
      <c r="G179" s="21">
        <f>E179</f>
        <v>7443.63</v>
      </c>
      <c r="H179" s="21">
        <f>E179</f>
        <v>7443.63</v>
      </c>
      <c r="I179" s="16">
        <f t="shared" si="3"/>
        <v>29774.52</v>
      </c>
    </row>
    <row r="180" spans="2:10" hidden="1">
      <c r="B180" s="33" t="s">
        <v>15</v>
      </c>
      <c r="C180" s="32"/>
      <c r="D180" s="31"/>
      <c r="E180" s="21"/>
      <c r="F180" s="21"/>
      <c r="G180" s="21"/>
      <c r="H180" s="21"/>
      <c r="I180" s="16">
        <f t="shared" si="3"/>
        <v>0</v>
      </c>
      <c r="J180" s="191" t="s">
        <v>156</v>
      </c>
    </row>
    <row r="181" spans="2:10" hidden="1">
      <c r="B181" s="33" t="s">
        <v>14</v>
      </c>
      <c r="C181" s="32"/>
      <c r="D181" s="31"/>
      <c r="E181" s="21">
        <v>0</v>
      </c>
      <c r="F181" s="21">
        <v>0</v>
      </c>
      <c r="G181" s="21">
        <v>0</v>
      </c>
      <c r="H181" s="21"/>
      <c r="I181" s="16">
        <f t="shared" si="3"/>
        <v>0</v>
      </c>
    </row>
    <row r="182" spans="2:10">
      <c r="B182" s="33" t="s">
        <v>13</v>
      </c>
      <c r="C182" s="32"/>
      <c r="D182" s="31"/>
      <c r="E182" s="21">
        <v>51174</v>
      </c>
      <c r="F182" s="21">
        <v>40321</v>
      </c>
      <c r="G182" s="21">
        <v>30558</v>
      </c>
      <c r="H182" s="21"/>
      <c r="I182" s="16">
        <f t="shared" si="3"/>
        <v>122053</v>
      </c>
    </row>
    <row r="183" spans="2:10">
      <c r="B183" s="33" t="s">
        <v>12</v>
      </c>
      <c r="C183" s="32"/>
      <c r="D183" s="31"/>
      <c r="E183" s="21">
        <v>5157</v>
      </c>
      <c r="F183" s="21">
        <f>E183</f>
        <v>5157</v>
      </c>
      <c r="G183" s="21">
        <f>E183</f>
        <v>5157</v>
      </c>
      <c r="H183" s="21">
        <f>E183</f>
        <v>5157</v>
      </c>
      <c r="I183" s="16">
        <f t="shared" si="3"/>
        <v>20628</v>
      </c>
    </row>
    <row r="184" spans="2:10">
      <c r="B184" s="33" t="s">
        <v>11</v>
      </c>
      <c r="C184" s="32"/>
      <c r="D184" s="31"/>
      <c r="E184" s="21">
        <v>68000</v>
      </c>
      <c r="F184" s="21">
        <v>37000</v>
      </c>
      <c r="G184" s="21">
        <v>0</v>
      </c>
      <c r="H184" s="21">
        <v>1400000</v>
      </c>
      <c r="I184" s="16">
        <f t="shared" si="3"/>
        <v>1505000</v>
      </c>
    </row>
    <row r="185" spans="2:10">
      <c r="B185" s="33" t="s">
        <v>10</v>
      </c>
      <c r="C185" s="32"/>
      <c r="D185" s="31"/>
      <c r="E185" s="21">
        <v>210858</v>
      </c>
      <c r="F185" s="21"/>
      <c r="G185" s="21">
        <v>45459</v>
      </c>
      <c r="H185" s="21">
        <v>42111.199999999997</v>
      </c>
      <c r="I185" s="16">
        <f t="shared" si="3"/>
        <v>298428.2</v>
      </c>
    </row>
    <row r="186" spans="2:10">
      <c r="B186" s="33" t="s">
        <v>9</v>
      </c>
      <c r="C186" s="32"/>
      <c r="D186" s="31"/>
      <c r="E186" s="30">
        <v>110935</v>
      </c>
      <c r="F186" s="30">
        <v>110935</v>
      </c>
      <c r="G186" s="30">
        <v>110935</v>
      </c>
      <c r="H186" s="30">
        <v>110935</v>
      </c>
      <c r="I186" s="29">
        <f t="shared" si="3"/>
        <v>443740</v>
      </c>
    </row>
    <row r="187" spans="2:10">
      <c r="B187" s="12" t="s">
        <v>8</v>
      </c>
      <c r="C187" s="11"/>
      <c r="D187" s="10"/>
      <c r="E187" s="15">
        <f>SUM(E168:E186)</f>
        <v>1359617.63</v>
      </c>
      <c r="F187" s="15">
        <f>SUM(F168:F186)</f>
        <v>1946852.8299999998</v>
      </c>
      <c r="G187" s="15">
        <f>SUM(G168:G186)</f>
        <v>1059385.6299999999</v>
      </c>
      <c r="H187" s="15">
        <f>SUM(H168:H186)</f>
        <v>1941499.8299999998</v>
      </c>
      <c r="I187" s="15">
        <f>SUM(I168:I186)</f>
        <v>6307355.9200000009</v>
      </c>
    </row>
    <row r="188" spans="2:10">
      <c r="B188" s="14"/>
      <c r="C188" s="11"/>
      <c r="D188" s="10"/>
      <c r="E188" s="28"/>
      <c r="F188" s="28"/>
      <c r="G188" s="28"/>
      <c r="H188" s="28"/>
      <c r="I188" s="28"/>
    </row>
    <row r="189" spans="2:10" ht="22.15" customHeight="1">
      <c r="B189" s="12" t="s">
        <v>7</v>
      </c>
      <c r="C189" s="11"/>
      <c r="D189" s="10"/>
      <c r="E189" s="26">
        <f>ROUND(SUM(E158,E187),0)</f>
        <v>54495401</v>
      </c>
      <c r="F189" s="26">
        <f>ROUND(SUM(F158,F187),0)</f>
        <v>75667624</v>
      </c>
      <c r="G189" s="26">
        <f>ROUND(SUM(G158,G187),0)</f>
        <v>50403725</v>
      </c>
      <c r="H189" s="26">
        <f>ROUND(SUM(H158,H187),0)</f>
        <v>38029496</v>
      </c>
      <c r="I189" s="26">
        <f>ROUND(SUM(I158,I187),0)</f>
        <v>218596246</v>
      </c>
    </row>
    <row r="190" spans="2:10" ht="12.75" customHeight="1">
      <c r="B190" s="12"/>
      <c r="C190" s="11"/>
      <c r="D190" s="10"/>
      <c r="E190" s="25"/>
      <c r="F190" s="24"/>
      <c r="G190" s="24"/>
      <c r="H190" s="24"/>
      <c r="I190" s="24"/>
    </row>
    <row r="191" spans="2:10">
      <c r="B191" s="12" t="s">
        <v>6</v>
      </c>
      <c r="C191" s="11"/>
      <c r="D191" s="10"/>
      <c r="E191" s="23">
        <f>E189/I189</f>
        <v>0.24929705791928375</v>
      </c>
      <c r="F191" s="23">
        <f>F189/I189</f>
        <v>0.34615244033056269</v>
      </c>
      <c r="G191" s="23">
        <f>G189/I189</f>
        <v>0.23057909695301904</v>
      </c>
      <c r="H191" s="23">
        <f>H189/I189</f>
        <v>0.17397140479713452</v>
      </c>
      <c r="I191" s="23"/>
    </row>
    <row r="192" spans="2:10">
      <c r="B192" s="12" t="s">
        <v>5</v>
      </c>
      <c r="C192" s="11"/>
      <c r="D192" s="10"/>
      <c r="E192" s="22"/>
      <c r="F192" s="22"/>
      <c r="G192" s="22"/>
      <c r="H192" s="22"/>
      <c r="I192" s="22"/>
    </row>
    <row r="193" spans="2:9">
      <c r="B193" s="10" t="s">
        <v>4</v>
      </c>
      <c r="C193" s="11"/>
      <c r="D193" s="20"/>
      <c r="E193" s="21">
        <v>31004</v>
      </c>
      <c r="F193" s="21">
        <f>527372</f>
        <v>527372</v>
      </c>
      <c r="G193" s="21">
        <v>200473</v>
      </c>
      <c r="H193" s="21">
        <v>130000</v>
      </c>
      <c r="I193" s="16">
        <f>SUM(E193:H193)</f>
        <v>888849</v>
      </c>
    </row>
    <row r="194" spans="2:9">
      <c r="B194" s="10" t="s">
        <v>3</v>
      </c>
      <c r="C194" s="11"/>
      <c r="D194" s="20"/>
      <c r="E194" s="18"/>
      <c r="F194" s="19">
        <v>787099</v>
      </c>
      <c r="G194" s="18"/>
      <c r="H194" s="18"/>
      <c r="I194" s="17">
        <f>SUM(E194:H194)</f>
        <v>787099</v>
      </c>
    </row>
    <row r="195" spans="2:9" ht="16.5" hidden="1" customHeight="1">
      <c r="B195" s="10" t="s">
        <v>2</v>
      </c>
      <c r="C195" s="11"/>
      <c r="D195" s="10"/>
      <c r="E195" s="16"/>
      <c r="F195" s="16"/>
      <c r="G195" s="16"/>
      <c r="H195" s="16"/>
      <c r="I195" s="16"/>
    </row>
    <row r="196" spans="2:9" ht="16.5" customHeight="1">
      <c r="B196" s="12" t="s">
        <v>1</v>
      </c>
      <c r="C196" s="11"/>
      <c r="D196" s="10"/>
      <c r="E196" s="15">
        <f>ROUND(SUM(E193:E195),0)</f>
        <v>31004</v>
      </c>
      <c r="F196" s="15">
        <f>ROUND(SUM(F193:F195),0)</f>
        <v>1314471</v>
      </c>
      <c r="G196" s="15">
        <f>ROUND(SUM(G193:G195),0)</f>
        <v>200473</v>
      </c>
      <c r="H196" s="15">
        <f>ROUND(SUM(H193:H195),0)</f>
        <v>130000</v>
      </c>
      <c r="I196" s="15">
        <f>ROUND(SUM(I193:I195),0)</f>
        <v>1675948</v>
      </c>
    </row>
    <row r="197" spans="2:9" ht="12.75" customHeight="1">
      <c r="B197" s="14"/>
      <c r="C197" s="11"/>
      <c r="D197" s="10"/>
      <c r="E197" s="13"/>
      <c r="F197" s="13"/>
      <c r="G197" s="13"/>
      <c r="H197" s="13"/>
      <c r="I197" s="13"/>
    </row>
    <row r="198" spans="2:9" ht="12.75" customHeight="1">
      <c r="B198" s="12" t="s">
        <v>0</v>
      </c>
      <c r="C198" s="11"/>
      <c r="D198" s="10"/>
      <c r="E198" s="9">
        <f>ROUND(E189+E196,0)</f>
        <v>54526405</v>
      </c>
      <c r="F198" s="9">
        <f>ROUND(F189+F196,0)</f>
        <v>76982095</v>
      </c>
      <c r="G198" s="9">
        <f>ROUND(G189+G196,0)</f>
        <v>50604198</v>
      </c>
      <c r="H198" s="9">
        <f>ROUND(H189+H196,0)</f>
        <v>38159496</v>
      </c>
      <c r="I198" s="8">
        <f>ROUND(I189+I196,0)</f>
        <v>220272194</v>
      </c>
    </row>
    <row r="199" spans="2:9" ht="12.75" customHeight="1">
      <c r="B199" s="7"/>
      <c r="C199" s="6"/>
      <c r="D199" s="5"/>
      <c r="E199" s="4"/>
      <c r="F199" s="4"/>
      <c r="G199" s="4"/>
      <c r="H199" s="4"/>
      <c r="I199" s="4"/>
    </row>
    <row r="200" spans="2:9">
      <c r="E200" s="3"/>
      <c r="F200" s="3"/>
      <c r="G200" s="3"/>
      <c r="H200" s="3"/>
      <c r="I200" s="3"/>
    </row>
    <row r="201" spans="2:9">
      <c r="E201" s="2"/>
      <c r="F201" s="2"/>
      <c r="G201" s="2"/>
      <c r="H201" s="2"/>
      <c r="I201" s="2"/>
    </row>
    <row r="202" spans="2:9">
      <c r="E202" s="2"/>
      <c r="F202" s="2"/>
      <c r="G202" s="2"/>
      <c r="H202" s="2"/>
      <c r="I202" s="2"/>
    </row>
    <row r="203" spans="2:9">
      <c r="E203" s="2"/>
      <c r="F203" s="2"/>
      <c r="G203" s="2"/>
      <c r="H203" s="2"/>
      <c r="I203" s="2"/>
    </row>
    <row r="204" spans="2:9">
      <c r="E204" s="2"/>
      <c r="F204" s="2"/>
      <c r="G204" s="2"/>
      <c r="H204" s="2"/>
      <c r="I204" s="2"/>
    </row>
    <row r="205" spans="2:9">
      <c r="E205" s="2"/>
      <c r="F205" s="2"/>
      <c r="G205" s="2"/>
      <c r="H205" s="2"/>
      <c r="I205" s="2"/>
    </row>
    <row r="206" spans="2:9">
      <c r="E206" s="2"/>
      <c r="F206" s="2"/>
      <c r="G206" s="2"/>
      <c r="H206" s="2"/>
      <c r="I206" s="2"/>
    </row>
    <row r="207" spans="2:9">
      <c r="E207" s="2"/>
      <c r="F207" s="2"/>
      <c r="G207" s="2"/>
      <c r="H207" s="2"/>
      <c r="I207" s="2"/>
    </row>
    <row r="208" spans="2:9">
      <c r="E208" s="2"/>
      <c r="F208" s="2"/>
      <c r="G208" s="2"/>
      <c r="H208" s="2"/>
      <c r="I208" s="2"/>
    </row>
  </sheetData>
  <mergeCells count="7">
    <mergeCell ref="B72:I72"/>
    <mergeCell ref="B1:I1"/>
    <mergeCell ref="B2:I2"/>
    <mergeCell ref="B3:I3"/>
    <mergeCell ref="B4:I4"/>
    <mergeCell ref="B5:I5"/>
    <mergeCell ref="B48:D48"/>
  </mergeCells>
  <printOptions horizontalCentered="1"/>
  <pageMargins left="0" right="0" top="0" bottom="0" header="0.05" footer="0.05"/>
  <pageSetup scale="53" fitToHeight="6" orientation="portrait" r:id="rId1"/>
  <headerFooter alignWithMargins="0"/>
  <rowBreaks count="2" manualBreakCount="2">
    <brk id="56" min="1" max="9" man="1"/>
    <brk id="143" min="1" max="9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334260329B2844BAA4A8FD6BAE7721" ma:contentTypeVersion="11" ma:contentTypeDescription="Create a new document." ma:contentTypeScope="" ma:versionID="e7f9afdfc7dfd14125231ad4309f28d5">
  <xsd:schema xmlns:xsd="http://www.w3.org/2001/XMLSchema" xmlns:xs="http://www.w3.org/2001/XMLSchema" xmlns:p="http://schemas.microsoft.com/office/2006/metadata/properties" xmlns:ns3="8bcaf340-61b9-4528-8fe4-79d3b189fbd5" targetNamespace="http://schemas.microsoft.com/office/2006/metadata/properties" ma:root="true" ma:fieldsID="48753a26651f077f99e6dde2d059ed99" ns3:_="">
    <xsd:import namespace="8bcaf340-61b9-4528-8fe4-79d3b189fb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af340-61b9-4528-8fe4-79d3b189f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ystemTags" ma:index="17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FB1FE8-A6DD-4FE6-B541-41E7FB74EA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AE2AF9-CBF6-4C4F-B95F-FA17C1FB9F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caf340-61b9-4528-8fe4-79d3b189fb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06AA63-2223-474E-9155-E1B5280E14BE}">
  <ds:schemaRefs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8bcaf340-61b9-4528-8fe4-79d3b189fb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TENTATIVE CAM-FINAL 5.15.2024</vt:lpstr>
      <vt:lpstr>'TENTATIVE CAM-FINAL 5.15.2024'!Print_Area</vt:lpstr>
      <vt:lpstr>'TENTATIVE CAM-FINAL 5.15.2024'!Print_Titles</vt:lpstr>
    </vt:vector>
  </TitlesOfParts>
  <Company>San Diego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Arreola-Bustamante</dc:creator>
  <cp:lastModifiedBy>Brett Bell</cp:lastModifiedBy>
  <cp:lastPrinted>2024-05-20T15:24:24Z</cp:lastPrinted>
  <dcterms:created xsi:type="dcterms:W3CDTF">2024-05-15T20:51:44Z</dcterms:created>
  <dcterms:modified xsi:type="dcterms:W3CDTF">2024-05-21T19:00:50Z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0x0101008E334260329B2844BAA4A8FD6BAE7721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